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2.xml" ContentType="application/vnd.openxmlformats-officedocument.drawing+xml"/>
  <Override PartName="/xl/tables/table3.xml" ContentType="application/vnd.openxmlformats-officedocument.spreadsheetml.tab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3.xml" ContentType="application/vnd.openxmlformats-officedocument.drawing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0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/Users/hervechristofol/Documents 2/SNESUP FSU/secteurs et commissions/COMMUNICATION/lettres flash/LF 2021/LF40 dotation des universités/"/>
    </mc:Choice>
  </mc:AlternateContent>
  <xr:revisionPtr revIDLastSave="0" documentId="13_ncr:1_{78192DE7-B74E-F34C-B5CC-CDBEA616CFF3}" xr6:coauthVersionLast="47" xr6:coauthVersionMax="47" xr10:uidLastSave="{00000000-0000-0000-0000-000000000000}"/>
  <bookViews>
    <workbookView xWindow="0" yWindow="500" windowWidth="35140" windowHeight="21900" xr2:uid="{6E8EB8C5-7E8F-5A4D-8F7D-EB28CDCAAEAF}"/>
  </bookViews>
  <sheets>
    <sheet name="Graphique pluriannuel" sheetId="7" r:id="rId1"/>
    <sheet name="2021 CNESER" sheetId="6" r:id="rId2"/>
    <sheet name="2020 CNESER" sheetId="5" r:id="rId3"/>
    <sheet name="2019 CNESER" sheetId="1" r:id="rId4"/>
    <sheet name="2019-2021 GE" sheetId="2" r:id="rId5"/>
  </sheets>
  <externalReferences>
    <externalReference r:id="rId6"/>
  </externalReferences>
  <definedNames>
    <definedName name="_xlnm._FilterDatabase" localSheetId="4" hidden="1">'2019-2021 GE'!$B$3:$T$26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38" i="2" l="1"/>
  <c r="V37" i="2"/>
  <c r="V3" i="2"/>
  <c r="P37" i="2"/>
  <c r="P103" i="2"/>
  <c r="K103" i="2"/>
  <c r="J103" i="2"/>
  <c r="M102" i="2"/>
  <c r="H102" i="2"/>
  <c r="M101" i="2"/>
  <c r="H101" i="2"/>
  <c r="M100" i="2"/>
  <c r="H100" i="2"/>
  <c r="M99" i="2"/>
  <c r="H99" i="2"/>
  <c r="M98" i="2"/>
  <c r="H98" i="2"/>
  <c r="M97" i="2"/>
  <c r="H97" i="2"/>
  <c r="M96" i="2"/>
  <c r="H96" i="2"/>
  <c r="M95" i="2"/>
  <c r="H95" i="2"/>
  <c r="M94" i="2"/>
  <c r="H94" i="2"/>
  <c r="M93" i="2"/>
  <c r="H93" i="2"/>
  <c r="M92" i="2"/>
  <c r="H92" i="2"/>
  <c r="M91" i="2"/>
  <c r="H91" i="2"/>
  <c r="M90" i="2"/>
  <c r="H90" i="2"/>
  <c r="M89" i="2"/>
  <c r="H89" i="2"/>
  <c r="M88" i="2"/>
  <c r="H88" i="2"/>
  <c r="M87" i="2"/>
  <c r="H87" i="2"/>
  <c r="M86" i="2"/>
  <c r="H86" i="2"/>
  <c r="M85" i="2"/>
  <c r="H85" i="2"/>
  <c r="M84" i="2"/>
  <c r="H84" i="2"/>
  <c r="M83" i="2"/>
  <c r="H83" i="2"/>
  <c r="M82" i="2"/>
  <c r="H82" i="2"/>
  <c r="M81" i="2"/>
  <c r="H81" i="2"/>
  <c r="M80" i="2"/>
  <c r="H80" i="2"/>
  <c r="M79" i="2"/>
  <c r="H79" i="2"/>
  <c r="M78" i="2"/>
  <c r="H78" i="2"/>
  <c r="M77" i="2"/>
  <c r="H77" i="2"/>
  <c r="M76" i="2"/>
  <c r="H76" i="2"/>
  <c r="M75" i="2"/>
  <c r="H75" i="2"/>
  <c r="M74" i="2"/>
  <c r="H74" i="2"/>
  <c r="M73" i="2"/>
  <c r="H73" i="2"/>
  <c r="M72" i="2"/>
  <c r="H72" i="2"/>
  <c r="M71" i="2"/>
  <c r="H71" i="2"/>
  <c r="M70" i="2"/>
  <c r="H70" i="2"/>
  <c r="M69" i="2"/>
  <c r="H69" i="2"/>
  <c r="M68" i="2"/>
  <c r="H68" i="2"/>
  <c r="M67" i="2"/>
  <c r="H67" i="2"/>
  <c r="M66" i="2"/>
  <c r="H66" i="2"/>
  <c r="M65" i="2"/>
  <c r="H65" i="2"/>
  <c r="M64" i="2"/>
  <c r="H64" i="2"/>
  <c r="M63" i="2"/>
  <c r="H63" i="2"/>
  <c r="M62" i="2"/>
  <c r="H62" i="2"/>
  <c r="M61" i="2"/>
  <c r="H61" i="2"/>
  <c r="M60" i="2"/>
  <c r="H60" i="2"/>
  <c r="M59" i="2"/>
  <c r="H59" i="2"/>
  <c r="M58" i="2"/>
  <c r="H58" i="2"/>
  <c r="M57" i="2"/>
  <c r="H57" i="2"/>
  <c r="M56" i="2"/>
  <c r="H56" i="2"/>
  <c r="M55" i="2"/>
  <c r="H55" i="2"/>
  <c r="M54" i="2"/>
  <c r="H54" i="2"/>
  <c r="M53" i="2"/>
  <c r="H53" i="2"/>
  <c r="M52" i="2"/>
  <c r="H52" i="2"/>
  <c r="M51" i="2"/>
  <c r="H51" i="2"/>
  <c r="M50" i="2"/>
  <c r="H50" i="2"/>
  <c r="M49" i="2"/>
  <c r="H49" i="2"/>
  <c r="M48" i="2"/>
  <c r="H48" i="2"/>
  <c r="M47" i="2"/>
  <c r="H47" i="2"/>
  <c r="M46" i="2"/>
  <c r="H46" i="2"/>
  <c r="M45" i="2"/>
  <c r="H45" i="2"/>
  <c r="M44" i="2"/>
  <c r="H44" i="2"/>
  <c r="M43" i="2"/>
  <c r="H43" i="2"/>
  <c r="M42" i="2"/>
  <c r="H42" i="2"/>
  <c r="D38" i="2"/>
  <c r="X37" i="2"/>
  <c r="T37" i="2"/>
  <c r="S37" i="2"/>
  <c r="R37" i="2"/>
  <c r="W37" i="2"/>
  <c r="O37" i="2"/>
  <c r="N37" i="2"/>
  <c r="L37" i="2"/>
  <c r="M37" i="2" s="1"/>
  <c r="K37" i="2"/>
  <c r="J37" i="2"/>
  <c r="G37" i="2"/>
  <c r="H37" i="2" s="1"/>
  <c r="F37" i="2"/>
  <c r="F38" i="2" s="1"/>
  <c r="E37" i="2"/>
  <c r="E38" i="2" s="1"/>
  <c r="D37" i="2"/>
  <c r="T36" i="2"/>
  <c r="T38" i="2" s="1"/>
  <c r="S36" i="2"/>
  <c r="S38" i="2" s="1"/>
  <c r="R36" i="2"/>
  <c r="R38" i="2" s="1"/>
  <c r="P36" i="2"/>
  <c r="W36" i="2" s="1"/>
  <c r="O36" i="2"/>
  <c r="O38" i="2" s="1"/>
  <c r="N36" i="2"/>
  <c r="N38" i="2" s="1"/>
  <c r="L36" i="2"/>
  <c r="M36" i="2" s="1"/>
  <c r="K36" i="2"/>
  <c r="V36" i="2" s="1"/>
  <c r="J36" i="2"/>
  <c r="J38" i="2" s="1"/>
  <c r="G36" i="2"/>
  <c r="G38" i="2" s="1"/>
  <c r="F36" i="2"/>
  <c r="E36" i="2"/>
  <c r="D36" i="2"/>
  <c r="X36" i="2" s="1"/>
  <c r="X35" i="2"/>
  <c r="W35" i="2"/>
  <c r="V35" i="2"/>
  <c r="M35" i="2"/>
  <c r="H35" i="2"/>
  <c r="X34" i="2"/>
  <c r="W34" i="2"/>
  <c r="V34" i="2"/>
  <c r="M34" i="2"/>
  <c r="H34" i="2"/>
  <c r="X33" i="2"/>
  <c r="W33" i="2"/>
  <c r="V33" i="2"/>
  <c r="M33" i="2"/>
  <c r="H33" i="2"/>
  <c r="X32" i="2"/>
  <c r="W32" i="2"/>
  <c r="V32" i="2"/>
  <c r="M32" i="2"/>
  <c r="H32" i="2"/>
  <c r="X31" i="2"/>
  <c r="W31" i="2"/>
  <c r="V31" i="2"/>
  <c r="M31" i="2"/>
  <c r="H31" i="2"/>
  <c r="X30" i="2"/>
  <c r="W30" i="2"/>
  <c r="V30" i="2"/>
  <c r="M30" i="2"/>
  <c r="H30" i="2"/>
  <c r="X29" i="2"/>
  <c r="W29" i="2"/>
  <c r="V29" i="2"/>
  <c r="M29" i="2"/>
  <c r="H29" i="2"/>
  <c r="X28" i="2"/>
  <c r="W28" i="2"/>
  <c r="V28" i="2"/>
  <c r="M28" i="2"/>
  <c r="H28" i="2"/>
  <c r="X27" i="2"/>
  <c r="W27" i="2"/>
  <c r="V27" i="2"/>
  <c r="M27" i="2"/>
  <c r="H27" i="2"/>
  <c r="X26" i="2"/>
  <c r="W26" i="2"/>
  <c r="V26" i="2"/>
  <c r="M26" i="2"/>
  <c r="H26" i="2"/>
  <c r="X25" i="2"/>
  <c r="W25" i="2"/>
  <c r="V25" i="2"/>
  <c r="M25" i="2"/>
  <c r="H25" i="2"/>
  <c r="X24" i="2"/>
  <c r="W24" i="2"/>
  <c r="V24" i="2"/>
  <c r="M24" i="2"/>
  <c r="H24" i="2"/>
  <c r="X23" i="2"/>
  <c r="W23" i="2"/>
  <c r="V23" i="2"/>
  <c r="M23" i="2"/>
  <c r="H23" i="2"/>
  <c r="X22" i="2"/>
  <c r="W22" i="2"/>
  <c r="V22" i="2"/>
  <c r="M22" i="2"/>
  <c r="H22" i="2"/>
  <c r="X21" i="2"/>
  <c r="W21" i="2"/>
  <c r="V21" i="2"/>
  <c r="M21" i="2"/>
  <c r="H21" i="2"/>
  <c r="X20" i="2"/>
  <c r="W20" i="2"/>
  <c r="V20" i="2"/>
  <c r="M20" i="2"/>
  <c r="H20" i="2"/>
  <c r="X19" i="2"/>
  <c r="W19" i="2"/>
  <c r="V19" i="2"/>
  <c r="M19" i="2"/>
  <c r="H19" i="2"/>
  <c r="X18" i="2"/>
  <c r="W18" i="2"/>
  <c r="V18" i="2"/>
  <c r="M18" i="2"/>
  <c r="H18" i="2"/>
  <c r="X17" i="2"/>
  <c r="W17" i="2"/>
  <c r="V17" i="2"/>
  <c r="M17" i="2"/>
  <c r="H17" i="2"/>
  <c r="X16" i="2"/>
  <c r="W16" i="2"/>
  <c r="V16" i="2"/>
  <c r="M16" i="2"/>
  <c r="H16" i="2"/>
  <c r="X15" i="2"/>
  <c r="W15" i="2"/>
  <c r="V15" i="2"/>
  <c r="M15" i="2"/>
  <c r="H15" i="2"/>
  <c r="X14" i="2"/>
  <c r="W14" i="2"/>
  <c r="V14" i="2"/>
  <c r="M14" i="2"/>
  <c r="H14" i="2"/>
  <c r="X13" i="2"/>
  <c r="W13" i="2"/>
  <c r="V13" i="2"/>
  <c r="M13" i="2"/>
  <c r="H13" i="2"/>
  <c r="X12" i="2"/>
  <c r="W12" i="2"/>
  <c r="V12" i="2"/>
  <c r="M12" i="2"/>
  <c r="H12" i="2"/>
  <c r="X11" i="2"/>
  <c r="W11" i="2"/>
  <c r="V11" i="2"/>
  <c r="M11" i="2"/>
  <c r="H11" i="2"/>
  <c r="X10" i="2"/>
  <c r="W10" i="2"/>
  <c r="V10" i="2"/>
  <c r="M10" i="2"/>
  <c r="H10" i="2"/>
  <c r="X9" i="2"/>
  <c r="W9" i="2"/>
  <c r="V9" i="2"/>
  <c r="M9" i="2"/>
  <c r="H9" i="2"/>
  <c r="X8" i="2"/>
  <c r="W8" i="2"/>
  <c r="V8" i="2"/>
  <c r="M8" i="2"/>
  <c r="H8" i="2"/>
  <c r="X7" i="2"/>
  <c r="W7" i="2"/>
  <c r="V7" i="2"/>
  <c r="M7" i="2"/>
  <c r="H7" i="2"/>
  <c r="X6" i="2"/>
  <c r="W6" i="2"/>
  <c r="V6" i="2"/>
  <c r="M6" i="2"/>
  <c r="H6" i="2"/>
  <c r="X5" i="2"/>
  <c r="W5" i="2"/>
  <c r="V5" i="2"/>
  <c r="M5" i="2"/>
  <c r="H5" i="2"/>
  <c r="X4" i="2"/>
  <c r="W4" i="2"/>
  <c r="V4" i="2"/>
  <c r="M4" i="2"/>
  <c r="H4" i="2"/>
  <c r="X3" i="2"/>
  <c r="W3" i="2"/>
  <c r="M3" i="2"/>
  <c r="H3" i="2"/>
  <c r="E2" i="7"/>
  <c r="F9" i="7" s="1"/>
  <c r="F4" i="6"/>
  <c r="F58" i="5"/>
  <c r="F35" i="5"/>
  <c r="F36" i="5"/>
  <c r="F37" i="5"/>
  <c r="F38" i="5"/>
  <c r="F39" i="5"/>
  <c r="F40" i="5"/>
  <c r="F41" i="5"/>
  <c r="F42" i="5"/>
  <c r="F43" i="5"/>
  <c r="F44" i="5"/>
  <c r="F45" i="5"/>
  <c r="F46" i="5"/>
  <c r="F47" i="5"/>
  <c r="F48" i="5"/>
  <c r="F49" i="5"/>
  <c r="F50" i="5"/>
  <c r="F51" i="5"/>
  <c r="F52" i="5"/>
  <c r="F53" i="5"/>
  <c r="F54" i="5"/>
  <c r="F55" i="5"/>
  <c r="F56" i="5"/>
  <c r="F57" i="5"/>
  <c r="F59" i="5"/>
  <c r="F60" i="5"/>
  <c r="F61" i="5"/>
  <c r="F62" i="5"/>
  <c r="F63" i="5"/>
  <c r="F64" i="5"/>
  <c r="F65" i="5"/>
  <c r="F66" i="5"/>
  <c r="F67" i="5"/>
  <c r="F68" i="5"/>
  <c r="F69" i="5"/>
  <c r="F70" i="5"/>
  <c r="F71" i="5"/>
  <c r="F5" i="5"/>
  <c r="F6" i="5"/>
  <c r="F7" i="5"/>
  <c r="F8" i="5"/>
  <c r="F9" i="5"/>
  <c r="F10" i="5"/>
  <c r="F11" i="5"/>
  <c r="F12" i="5"/>
  <c r="F13" i="5"/>
  <c r="F14" i="5"/>
  <c r="F15" i="5"/>
  <c r="F16" i="5"/>
  <c r="F17" i="5"/>
  <c r="F18" i="5"/>
  <c r="F19" i="5"/>
  <c r="F20" i="5"/>
  <c r="F21" i="5"/>
  <c r="F22" i="5"/>
  <c r="F23" i="5"/>
  <c r="F24" i="5"/>
  <c r="F25" i="5"/>
  <c r="F26" i="5"/>
  <c r="F27" i="5"/>
  <c r="F28" i="5"/>
  <c r="F29" i="5"/>
  <c r="F30" i="5"/>
  <c r="F31" i="5"/>
  <c r="F32" i="5"/>
  <c r="F33" i="5"/>
  <c r="F34" i="5"/>
  <c r="F4" i="5"/>
  <c r="H4" i="5"/>
  <c r="H38" i="2" l="1"/>
  <c r="K38" i="2"/>
  <c r="L38" i="2"/>
  <c r="M38" i="2" s="1"/>
  <c r="P38" i="2"/>
  <c r="W38" i="2" s="1"/>
  <c r="H36" i="2"/>
  <c r="F3" i="7"/>
  <c r="F5" i="7"/>
  <c r="F6" i="7"/>
  <c r="F11" i="7"/>
  <c r="F13" i="7"/>
  <c r="F15" i="7"/>
  <c r="I3" i="7"/>
  <c r="I4" i="7"/>
  <c r="I5" i="7"/>
  <c r="F10" i="7"/>
  <c r="F18" i="7" s="1"/>
  <c r="F12" i="7"/>
  <c r="F19" i="7" s="1"/>
  <c r="F14" i="7"/>
  <c r="F20" i="7" s="1"/>
  <c r="F16" i="7"/>
  <c r="F21" i="7" s="1"/>
  <c r="I7" i="7"/>
  <c r="I11" i="7"/>
  <c r="I19" i="7" s="1"/>
  <c r="I6" i="7"/>
  <c r="I9" i="7"/>
  <c r="I13" i="7"/>
  <c r="I15" i="7"/>
  <c r="I10" i="7"/>
  <c r="I12" i="7"/>
  <c r="I14" i="7"/>
  <c r="I16" i="7"/>
  <c r="F4" i="7"/>
  <c r="F7" i="7"/>
  <c r="J73" i="5"/>
  <c r="I60" i="6"/>
  <c r="I61" i="6"/>
  <c r="I62" i="6"/>
  <c r="I63" i="6"/>
  <c r="I64" i="6"/>
  <c r="I65" i="6"/>
  <c r="I66" i="6"/>
  <c r="I67" i="6"/>
  <c r="I68" i="6"/>
  <c r="I69" i="6"/>
  <c r="I70" i="6"/>
  <c r="I71" i="6"/>
  <c r="I36" i="6"/>
  <c r="I37" i="6"/>
  <c r="I38" i="6"/>
  <c r="I39" i="6"/>
  <c r="I40" i="6"/>
  <c r="I41" i="6"/>
  <c r="I42" i="6"/>
  <c r="I43" i="6"/>
  <c r="I44" i="6"/>
  <c r="I45" i="6"/>
  <c r="I46" i="6"/>
  <c r="I47" i="6"/>
  <c r="I48" i="6"/>
  <c r="I49" i="6"/>
  <c r="I50" i="6"/>
  <c r="I51" i="6"/>
  <c r="I52" i="6"/>
  <c r="I53" i="6"/>
  <c r="I54" i="6"/>
  <c r="I55" i="6"/>
  <c r="N55" i="6" s="1"/>
  <c r="I56" i="6"/>
  <c r="I57" i="6"/>
  <c r="I58" i="6"/>
  <c r="I59" i="6"/>
  <c r="I35" i="6"/>
  <c r="I5" i="6"/>
  <c r="I6" i="6"/>
  <c r="I7" i="6"/>
  <c r="I8" i="6"/>
  <c r="I9" i="6"/>
  <c r="I10" i="6"/>
  <c r="I11" i="6"/>
  <c r="I12" i="6"/>
  <c r="I13" i="6"/>
  <c r="I14" i="6"/>
  <c r="I15" i="6"/>
  <c r="I16" i="6"/>
  <c r="I17" i="6"/>
  <c r="I18" i="6"/>
  <c r="I19" i="6"/>
  <c r="I20" i="6"/>
  <c r="I21" i="6"/>
  <c r="I22" i="6"/>
  <c r="I23" i="6"/>
  <c r="I24" i="6"/>
  <c r="I25" i="6"/>
  <c r="I26" i="6"/>
  <c r="I27" i="6"/>
  <c r="I28" i="6"/>
  <c r="I29" i="6"/>
  <c r="I30" i="6"/>
  <c r="I31" i="6"/>
  <c r="I32" i="6"/>
  <c r="I33" i="6"/>
  <c r="I34" i="6"/>
  <c r="I4" i="6"/>
  <c r="M58" i="5"/>
  <c r="H58" i="5"/>
  <c r="K4" i="5"/>
  <c r="J18" i="7"/>
  <c r="J20" i="7"/>
  <c r="J21" i="7"/>
  <c r="I21" i="7"/>
  <c r="I20" i="7"/>
  <c r="J19" i="7"/>
  <c r="I18" i="7"/>
  <c r="G21" i="7"/>
  <c r="G20" i="7"/>
  <c r="G19" i="7"/>
  <c r="G18" i="7"/>
  <c r="D18" i="7"/>
  <c r="D19" i="7"/>
  <c r="D20" i="7"/>
  <c r="D21" i="7"/>
  <c r="C19" i="7"/>
  <c r="C20" i="7"/>
  <c r="C21" i="7"/>
  <c r="C18" i="7"/>
  <c r="M55" i="6"/>
  <c r="M4" i="6"/>
  <c r="L5" i="6"/>
  <c r="L6" i="6"/>
  <c r="L10" i="6"/>
  <c r="L7" i="6"/>
  <c r="L19" i="6"/>
  <c r="L11" i="6"/>
  <c r="L14" i="6"/>
  <c r="L8" i="6"/>
  <c r="L26" i="6"/>
  <c r="L20" i="6"/>
  <c r="L25" i="6"/>
  <c r="L41" i="6"/>
  <c r="L12" i="6"/>
  <c r="L16" i="6"/>
  <c r="L13" i="6"/>
  <c r="L21" i="6"/>
  <c r="L18" i="6"/>
  <c r="L31" i="6"/>
  <c r="L27" i="6"/>
  <c r="L33" i="6"/>
  <c r="L15" i="6"/>
  <c r="L24" i="6"/>
  <c r="L22" i="6"/>
  <c r="L30" i="6"/>
  <c r="L28" i="6"/>
  <c r="L29" i="6"/>
  <c r="L32" i="6"/>
  <c r="L58" i="6"/>
  <c r="L34" i="6"/>
  <c r="L35" i="6"/>
  <c r="L36" i="6"/>
  <c r="L23" i="6"/>
  <c r="L43" i="6"/>
  <c r="L55" i="6"/>
  <c r="L39" i="6"/>
  <c r="L46" i="6"/>
  <c r="L47" i="6"/>
  <c r="L49" i="6"/>
  <c r="L44" i="6"/>
  <c r="L48" i="6"/>
  <c r="L42" i="6"/>
  <c r="L40" i="6"/>
  <c r="L37" i="6"/>
  <c r="L54" i="6"/>
  <c r="L51" i="6"/>
  <c r="L45" i="6"/>
  <c r="L50" i="6"/>
  <c r="L52" i="6"/>
  <c r="L53" i="6"/>
  <c r="L17" i="6"/>
  <c r="L57" i="6"/>
  <c r="L56" i="6"/>
  <c r="L9" i="6"/>
  <c r="L59" i="6"/>
  <c r="L61" i="6"/>
  <c r="L60" i="6"/>
  <c r="L62" i="6"/>
  <c r="L66" i="6"/>
  <c r="L64" i="6"/>
  <c r="L65" i="6"/>
  <c r="L63" i="6"/>
  <c r="L67" i="6"/>
  <c r="L68" i="6"/>
  <c r="L69" i="6"/>
  <c r="L70" i="6"/>
  <c r="L71" i="6"/>
  <c r="L38" i="6"/>
  <c r="L4" i="6"/>
  <c r="M5" i="5"/>
  <c r="M6" i="5"/>
  <c r="M7" i="5"/>
  <c r="M8" i="5"/>
  <c r="M9" i="5"/>
  <c r="M10" i="5"/>
  <c r="M11" i="5"/>
  <c r="M12" i="5"/>
  <c r="M13" i="5"/>
  <c r="M14" i="5"/>
  <c r="M15" i="5"/>
  <c r="M17" i="5"/>
  <c r="M18" i="5"/>
  <c r="M19" i="5"/>
  <c r="M20" i="5"/>
  <c r="M21" i="5"/>
  <c r="M22" i="5"/>
  <c r="M23" i="5"/>
  <c r="M24" i="5"/>
  <c r="M25" i="5"/>
  <c r="M26" i="5"/>
  <c r="M27" i="5"/>
  <c r="M28" i="5"/>
  <c r="M29" i="5"/>
  <c r="M30" i="5"/>
  <c r="M31" i="5"/>
  <c r="M32" i="5"/>
  <c r="M33" i="5"/>
  <c r="M34" i="5"/>
  <c r="M35" i="5"/>
  <c r="M36" i="5"/>
  <c r="M37" i="5"/>
  <c r="M38" i="5"/>
  <c r="M39" i="5"/>
  <c r="M40" i="5"/>
  <c r="M41" i="5"/>
  <c r="M42" i="5"/>
  <c r="M43" i="5"/>
  <c r="M44" i="5"/>
  <c r="M45" i="5"/>
  <c r="M46" i="5"/>
  <c r="M47" i="5"/>
  <c r="M48" i="5"/>
  <c r="M49" i="5"/>
  <c r="M50" i="5"/>
  <c r="M51" i="5"/>
  <c r="M52" i="5"/>
  <c r="M53" i="5"/>
  <c r="M54" i="5"/>
  <c r="M55" i="5"/>
  <c r="M56" i="5"/>
  <c r="M57" i="5"/>
  <c r="M59" i="5"/>
  <c r="M60" i="5"/>
  <c r="M61" i="5"/>
  <c r="M62" i="5"/>
  <c r="M63" i="5"/>
  <c r="M64" i="5"/>
  <c r="M65" i="5"/>
  <c r="M66" i="5"/>
  <c r="M67" i="5"/>
  <c r="M68" i="5"/>
  <c r="M69" i="5"/>
  <c r="M70" i="5"/>
  <c r="M71" i="5"/>
  <c r="M4" i="5"/>
  <c r="P30" i="5"/>
  <c r="J38" i="5"/>
  <c r="J72" i="5" s="1"/>
  <c r="H5" i="5"/>
  <c r="H33" i="5"/>
  <c r="H31" i="5"/>
  <c r="H20" i="5"/>
  <c r="H12" i="5"/>
  <c r="H15" i="5"/>
  <c r="H28" i="5"/>
  <c r="H17" i="5"/>
  <c r="H18" i="5"/>
  <c r="H8" i="5"/>
  <c r="H22" i="5"/>
  <c r="H11" i="5"/>
  <c r="H26" i="5"/>
  <c r="H32" i="5"/>
  <c r="H14" i="5"/>
  <c r="H13" i="5"/>
  <c r="H10" i="5"/>
  <c r="H16" i="5"/>
  <c r="H7" i="5"/>
  <c r="H25" i="5"/>
  <c r="H29" i="5"/>
  <c r="H24" i="5"/>
  <c r="H6" i="5"/>
  <c r="H9" i="5"/>
  <c r="H34" i="5"/>
  <c r="H19" i="5"/>
  <c r="H21" i="5"/>
  <c r="H23" i="5"/>
  <c r="H27" i="5"/>
  <c r="H40" i="5"/>
  <c r="H47" i="5"/>
  <c r="H39" i="5"/>
  <c r="H36" i="5"/>
  <c r="H41" i="5"/>
  <c r="H54" i="5"/>
  <c r="H51" i="5"/>
  <c r="H46" i="5"/>
  <c r="H53" i="5"/>
  <c r="H43" i="5"/>
  <c r="H42" i="5"/>
  <c r="H37" i="5"/>
  <c r="H48" i="5"/>
  <c r="H35" i="5"/>
  <c r="H52" i="5"/>
  <c r="H50" i="5"/>
  <c r="H38" i="5"/>
  <c r="H49" i="5"/>
  <c r="H44" i="5"/>
  <c r="H55" i="5"/>
  <c r="H45" i="5"/>
  <c r="H56" i="5"/>
  <c r="H57" i="5"/>
  <c r="H59" i="5"/>
  <c r="H64" i="5"/>
  <c r="H60" i="5"/>
  <c r="H61" i="5"/>
  <c r="H67" i="5"/>
  <c r="H65" i="5"/>
  <c r="H66" i="5"/>
  <c r="H62" i="5"/>
  <c r="H63" i="5"/>
  <c r="H68" i="5"/>
  <c r="H71" i="5"/>
  <c r="H69" i="5"/>
  <c r="H70" i="5"/>
  <c r="H30" i="5"/>
  <c r="I4" i="1"/>
  <c r="J4" i="1"/>
  <c r="H58" i="1"/>
  <c r="H73" i="1" s="1"/>
  <c r="X38" i="2" l="1"/>
  <c r="M16" i="5"/>
  <c r="N4" i="6"/>
  <c r="AG12" i="6"/>
  <c r="AG7" i="6"/>
  <c r="AI4" i="6" l="1"/>
  <c r="AJ4" i="6" s="1"/>
  <c r="V5" i="6" l="1"/>
  <c r="AD4" i="6" l="1"/>
  <c r="AC4" i="6"/>
  <c r="V7" i="6"/>
  <c r="Y12" i="6"/>
  <c r="H25" i="6" l="1"/>
  <c r="F25" i="6"/>
  <c r="J25" i="6" s="1"/>
  <c r="M13" i="6"/>
  <c r="M24" i="6"/>
  <c r="M34" i="6"/>
  <c r="N49" i="6"/>
  <c r="N48" i="6"/>
  <c r="M44" i="6"/>
  <c r="N51" i="6"/>
  <c r="M37" i="6"/>
  <c r="M40" i="6"/>
  <c r="M45" i="6"/>
  <c r="N61" i="6"/>
  <c r="N66" i="6"/>
  <c r="N68" i="6"/>
  <c r="M70" i="6"/>
  <c r="N10" i="6"/>
  <c r="N12" i="6"/>
  <c r="N58" i="6"/>
  <c r="M71" i="6"/>
  <c r="M28" i="6"/>
  <c r="N35" i="6"/>
  <c r="N9" i="6"/>
  <c r="N59" i="6"/>
  <c r="N60" i="6"/>
  <c r="M63" i="6"/>
  <c r="M69" i="6"/>
  <c r="M46" i="6"/>
  <c r="J4" i="6"/>
  <c r="H47" i="6"/>
  <c r="H5" i="6"/>
  <c r="H31" i="6"/>
  <c r="H26" i="6"/>
  <c r="H64" i="6"/>
  <c r="H44" i="6"/>
  <c r="H13" i="6"/>
  <c r="H27" i="6"/>
  <c r="H52" i="6"/>
  <c r="H36" i="6"/>
  <c r="H65" i="6"/>
  <c r="H7" i="6"/>
  <c r="H18" i="6"/>
  <c r="H16" i="6"/>
  <c r="H41" i="6"/>
  <c r="H22" i="6"/>
  <c r="H29" i="6"/>
  <c r="H11" i="6"/>
  <c r="H8" i="6"/>
  <c r="H39" i="6"/>
  <c r="H40" i="6"/>
  <c r="H23" i="6"/>
  <c r="H24" i="6"/>
  <c r="H56" i="6"/>
  <c r="H61" i="6"/>
  <c r="H68" i="6"/>
  <c r="H10" i="6"/>
  <c r="H17" i="6"/>
  <c r="H60" i="6"/>
  <c r="H35" i="6"/>
  <c r="H46" i="6"/>
  <c r="H32" i="6"/>
  <c r="H4" i="6"/>
  <c r="H42" i="6"/>
  <c r="H14" i="6"/>
  <c r="H12" i="6"/>
  <c r="H43" i="6"/>
  <c r="H50" i="6"/>
  <c r="H45" i="6"/>
  <c r="H19" i="6"/>
  <c r="H58" i="6"/>
  <c r="H38" i="6"/>
  <c r="H71" i="6"/>
  <c r="H69" i="6"/>
  <c r="H67" i="6"/>
  <c r="H34" i="6"/>
  <c r="H49" i="6"/>
  <c r="H28" i="6"/>
  <c r="H53" i="6"/>
  <c r="H21" i="6"/>
  <c r="H15" i="6"/>
  <c r="H55" i="6"/>
  <c r="H57" i="6"/>
  <c r="H62" i="6"/>
  <c r="H51" i="6"/>
  <c r="H6" i="6"/>
  <c r="H48" i="6"/>
  <c r="H20" i="6"/>
  <c r="H70" i="6"/>
  <c r="H63" i="6"/>
  <c r="H59" i="6"/>
  <c r="H37" i="6"/>
  <c r="H54" i="6"/>
  <c r="H66" i="6"/>
  <c r="H9" i="6"/>
  <c r="H33" i="6"/>
  <c r="H30" i="6"/>
  <c r="F47" i="6"/>
  <c r="J47" i="6" s="1"/>
  <c r="F5" i="6"/>
  <c r="J5" i="6" s="1"/>
  <c r="F31" i="6"/>
  <c r="J31" i="6" s="1"/>
  <c r="F26" i="6"/>
  <c r="J26" i="6" s="1"/>
  <c r="F64" i="6"/>
  <c r="J64" i="6" s="1"/>
  <c r="F44" i="6"/>
  <c r="J44" i="6" s="1"/>
  <c r="F13" i="6"/>
  <c r="J13" i="6" s="1"/>
  <c r="F27" i="6"/>
  <c r="J27" i="6" s="1"/>
  <c r="F52" i="6"/>
  <c r="J52" i="6" s="1"/>
  <c r="F36" i="6"/>
  <c r="J36" i="6" s="1"/>
  <c r="F65" i="6"/>
  <c r="J65" i="6" s="1"/>
  <c r="F7" i="6"/>
  <c r="J7" i="6" s="1"/>
  <c r="F18" i="6"/>
  <c r="J18" i="6" s="1"/>
  <c r="F16" i="6"/>
  <c r="J16" i="6" s="1"/>
  <c r="S16" i="6" s="1"/>
  <c r="F41" i="6"/>
  <c r="J41" i="6" s="1"/>
  <c r="F22" i="6"/>
  <c r="J22" i="6" s="1"/>
  <c r="F29" i="6"/>
  <c r="J29" i="6" s="1"/>
  <c r="F11" i="6"/>
  <c r="J11" i="6" s="1"/>
  <c r="F8" i="6"/>
  <c r="J8" i="6" s="1"/>
  <c r="F39" i="6"/>
  <c r="J39" i="6" s="1"/>
  <c r="F40" i="6"/>
  <c r="J40" i="6" s="1"/>
  <c r="F23" i="6"/>
  <c r="J23" i="6" s="1"/>
  <c r="F24" i="6"/>
  <c r="J24" i="6" s="1"/>
  <c r="F56" i="6"/>
  <c r="J56" i="6" s="1"/>
  <c r="F61" i="6"/>
  <c r="J61" i="6" s="1"/>
  <c r="F68" i="6"/>
  <c r="J68" i="6" s="1"/>
  <c r="F10" i="6"/>
  <c r="J10" i="6" s="1"/>
  <c r="F17" i="6"/>
  <c r="J17" i="6" s="1"/>
  <c r="F60" i="6"/>
  <c r="J60" i="6" s="1"/>
  <c r="F35" i="6"/>
  <c r="J35" i="6" s="1"/>
  <c r="F46" i="6"/>
  <c r="J46" i="6" s="1"/>
  <c r="F32" i="6"/>
  <c r="J32" i="6" s="1"/>
  <c r="F42" i="6"/>
  <c r="J42" i="6" s="1"/>
  <c r="F14" i="6"/>
  <c r="J14" i="6" s="1"/>
  <c r="S14" i="6" s="1"/>
  <c r="F12" i="6"/>
  <c r="J12" i="6" s="1"/>
  <c r="F43" i="6"/>
  <c r="J43" i="6" s="1"/>
  <c r="F50" i="6"/>
  <c r="J50" i="6" s="1"/>
  <c r="F45" i="6"/>
  <c r="J45" i="6" s="1"/>
  <c r="F19" i="6"/>
  <c r="J19" i="6" s="1"/>
  <c r="F58" i="6"/>
  <c r="J58" i="6" s="1"/>
  <c r="F38" i="6"/>
  <c r="F71" i="6"/>
  <c r="J71" i="6" s="1"/>
  <c r="F69" i="6"/>
  <c r="J69" i="6" s="1"/>
  <c r="F67" i="6"/>
  <c r="J67" i="6" s="1"/>
  <c r="F34" i="6"/>
  <c r="J34" i="6" s="1"/>
  <c r="F49" i="6"/>
  <c r="J49" i="6" s="1"/>
  <c r="F28" i="6"/>
  <c r="J28" i="6" s="1"/>
  <c r="F53" i="6"/>
  <c r="J53" i="6" s="1"/>
  <c r="F21" i="6"/>
  <c r="J21" i="6" s="1"/>
  <c r="F15" i="6"/>
  <c r="J15" i="6" s="1"/>
  <c r="F55" i="6"/>
  <c r="J55" i="6" s="1"/>
  <c r="F57" i="6"/>
  <c r="J57" i="6" s="1"/>
  <c r="F62" i="6"/>
  <c r="J62" i="6" s="1"/>
  <c r="F51" i="6"/>
  <c r="J51" i="6" s="1"/>
  <c r="F6" i="6"/>
  <c r="J6" i="6" s="1"/>
  <c r="F48" i="6"/>
  <c r="J48" i="6" s="1"/>
  <c r="F20" i="6"/>
  <c r="J20" i="6" s="1"/>
  <c r="F70" i="6"/>
  <c r="J70" i="6" s="1"/>
  <c r="F63" i="6"/>
  <c r="J63" i="6" s="1"/>
  <c r="F59" i="6"/>
  <c r="J59" i="6" s="1"/>
  <c r="F37" i="6"/>
  <c r="J37" i="6" s="1"/>
  <c r="F54" i="6"/>
  <c r="J54" i="6" s="1"/>
  <c r="F66" i="6"/>
  <c r="J66" i="6" s="1"/>
  <c r="F9" i="6"/>
  <c r="J9" i="6" s="1"/>
  <c r="F33" i="6"/>
  <c r="J33" i="6" s="1"/>
  <c r="F30" i="6"/>
  <c r="J30" i="6" s="1"/>
  <c r="AA4" i="6"/>
  <c r="V4" i="6"/>
  <c r="W4" i="6" s="1"/>
  <c r="G72" i="6"/>
  <c r="D72" i="6" s="1"/>
  <c r="W72" i="6" s="1"/>
  <c r="I79" i="6"/>
  <c r="I76" i="6"/>
  <c r="G76" i="6"/>
  <c r="E76" i="6"/>
  <c r="I75" i="6"/>
  <c r="G75" i="6"/>
  <c r="E75" i="6"/>
  <c r="I74" i="6"/>
  <c r="G74" i="6"/>
  <c r="E74" i="6"/>
  <c r="I73" i="6"/>
  <c r="G73" i="6"/>
  <c r="E73" i="6"/>
  <c r="E72" i="6"/>
  <c r="T33" i="6"/>
  <c r="N33" i="6"/>
  <c r="T9" i="6"/>
  <c r="T66" i="6"/>
  <c r="T54" i="6"/>
  <c r="N54" i="6"/>
  <c r="T37" i="6"/>
  <c r="T59" i="6"/>
  <c r="T63" i="6"/>
  <c r="T70" i="6"/>
  <c r="T20" i="6"/>
  <c r="N20" i="6"/>
  <c r="T48" i="6"/>
  <c r="T6" i="6"/>
  <c r="M6" i="6"/>
  <c r="T51" i="6"/>
  <c r="T62" i="6"/>
  <c r="M62" i="6"/>
  <c r="T57" i="6"/>
  <c r="T55" i="6"/>
  <c r="T15" i="6"/>
  <c r="M15" i="6"/>
  <c r="T21" i="6"/>
  <c r="N21" i="6"/>
  <c r="T53" i="6"/>
  <c r="T28" i="6"/>
  <c r="T49" i="6"/>
  <c r="T34" i="6"/>
  <c r="T67" i="6"/>
  <c r="T69" i="6"/>
  <c r="T71" i="6"/>
  <c r="T38" i="6"/>
  <c r="T58" i="6"/>
  <c r="T19" i="6"/>
  <c r="M19" i="6"/>
  <c r="T45" i="6"/>
  <c r="T50" i="6"/>
  <c r="T43" i="6"/>
  <c r="T12" i="6"/>
  <c r="T14" i="6"/>
  <c r="N14" i="6"/>
  <c r="T42" i="6"/>
  <c r="N42" i="6"/>
  <c r="T4" i="6"/>
  <c r="T32" i="6"/>
  <c r="T46" i="6"/>
  <c r="T35" i="6"/>
  <c r="T60" i="6"/>
  <c r="T17" i="6"/>
  <c r="N17" i="6"/>
  <c r="T10" i="6"/>
  <c r="T68" i="6"/>
  <c r="T61" i="6"/>
  <c r="T56" i="6"/>
  <c r="T24" i="6"/>
  <c r="T23" i="6"/>
  <c r="M23" i="6"/>
  <c r="T40" i="6"/>
  <c r="T25" i="6"/>
  <c r="T39" i="6"/>
  <c r="M39" i="6"/>
  <c r="T8" i="6"/>
  <c r="T29" i="6"/>
  <c r="T22" i="6"/>
  <c r="M22" i="6"/>
  <c r="M41" i="6"/>
  <c r="T16" i="6"/>
  <c r="M16" i="6"/>
  <c r="T18" i="6"/>
  <c r="T65" i="6"/>
  <c r="T36" i="6"/>
  <c r="M36" i="6"/>
  <c r="T52" i="6"/>
  <c r="T27" i="6"/>
  <c r="M27" i="6"/>
  <c r="T13" i="6"/>
  <c r="T44" i="6"/>
  <c r="T64" i="6"/>
  <c r="T26" i="6"/>
  <c r="M26" i="6"/>
  <c r="T31" i="6"/>
  <c r="T5" i="6"/>
  <c r="M5" i="6"/>
  <c r="T47" i="6"/>
  <c r="T30" i="6"/>
  <c r="S4" i="6" l="1"/>
  <c r="S57" i="6"/>
  <c r="S12" i="6"/>
  <c r="S43" i="6"/>
  <c r="S33" i="6"/>
  <c r="S18" i="6"/>
  <c r="S59" i="6"/>
  <c r="S55" i="6"/>
  <c r="S7" i="6"/>
  <c r="S52" i="6"/>
  <c r="S48" i="6"/>
  <c r="S58" i="6"/>
  <c r="S56" i="6"/>
  <c r="S26" i="6"/>
  <c r="S42" i="6"/>
  <c r="S9" i="6"/>
  <c r="S32" i="6"/>
  <c r="S67" i="6"/>
  <c r="S69" i="6"/>
  <c r="S45" i="6"/>
  <c r="S44" i="6"/>
  <c r="S29" i="6"/>
  <c r="S46" i="6"/>
  <c r="S60" i="6"/>
  <c r="S17" i="6"/>
  <c r="S19" i="6"/>
  <c r="S51" i="6"/>
  <c r="S40" i="6"/>
  <c r="S64" i="6"/>
  <c r="Y4" i="6"/>
  <c r="M60" i="6"/>
  <c r="N28" i="6"/>
  <c r="N25" i="6"/>
  <c r="N43" i="6"/>
  <c r="M20" i="6"/>
  <c r="M32" i="6"/>
  <c r="N70" i="6"/>
  <c r="M59" i="6"/>
  <c r="M56" i="6"/>
  <c r="M68" i="6"/>
  <c r="M21" i="6"/>
  <c r="N56" i="6"/>
  <c r="M42" i="6"/>
  <c r="M43" i="6"/>
  <c r="M8" i="6"/>
  <c r="M51" i="6"/>
  <c r="N32" i="6"/>
  <c r="M49" i="6"/>
  <c r="N15" i="6"/>
  <c r="N23" i="6"/>
  <c r="N71" i="6"/>
  <c r="N37" i="6"/>
  <c r="N6" i="6"/>
  <c r="M61" i="6"/>
  <c r="M33" i="6"/>
  <c r="N13" i="6"/>
  <c r="M52" i="6"/>
  <c r="N34" i="6"/>
  <c r="N19" i="6"/>
  <c r="M47" i="6"/>
  <c r="N41" i="6"/>
  <c r="N62" i="6"/>
  <c r="M54" i="6"/>
  <c r="S54" i="6"/>
  <c r="S28" i="6"/>
  <c r="S38" i="6"/>
  <c r="S13" i="6"/>
  <c r="S10" i="6"/>
  <c r="S68" i="6"/>
  <c r="N24" i="6"/>
  <c r="S24" i="6"/>
  <c r="M11" i="6"/>
  <c r="M29" i="6"/>
  <c r="T11" i="6"/>
  <c r="N22" i="6"/>
  <c r="T41" i="6"/>
  <c r="G79" i="6"/>
  <c r="T7" i="6"/>
  <c r="M7" i="6"/>
  <c r="S27" i="6"/>
  <c r="J75" i="6"/>
  <c r="N5" i="6"/>
  <c r="S5" i="6"/>
  <c r="S47" i="6"/>
  <c r="N47" i="6"/>
  <c r="N30" i="6"/>
  <c r="S53" i="6"/>
  <c r="S66" i="6"/>
  <c r="S21" i="6"/>
  <c r="S30" i="6"/>
  <c r="N65" i="6"/>
  <c r="N8" i="6"/>
  <c r="S65" i="6"/>
  <c r="S39" i="6"/>
  <c r="S20" i="6"/>
  <c r="J76" i="6"/>
  <c r="N31" i="6"/>
  <c r="N29" i="6"/>
  <c r="N11" i="6"/>
  <c r="S8" i="6"/>
  <c r="S31" i="6"/>
  <c r="N27" i="6"/>
  <c r="N52" i="6"/>
  <c r="N36" i="6"/>
  <c r="S22" i="6"/>
  <c r="S11" i="6"/>
  <c r="S36" i="6"/>
  <c r="S6" i="6"/>
  <c r="S41" i="6"/>
  <c r="S23" i="6"/>
  <c r="S35" i="6"/>
  <c r="N46" i="6"/>
  <c r="S50" i="6"/>
  <c r="N45" i="6"/>
  <c r="S71" i="6"/>
  <c r="N69" i="6"/>
  <c r="M67" i="6"/>
  <c r="S15" i="6"/>
  <c r="M57" i="6"/>
  <c r="S70" i="6"/>
  <c r="N63" i="6"/>
  <c r="J73" i="6"/>
  <c r="N67" i="6"/>
  <c r="N57" i="6"/>
  <c r="S63" i="6"/>
  <c r="K76" i="6"/>
  <c r="S61" i="6"/>
  <c r="M10" i="6"/>
  <c r="M14" i="6"/>
  <c r="S34" i="6"/>
  <c r="S62" i="6"/>
  <c r="S37" i="6"/>
  <c r="M66" i="6"/>
  <c r="J74" i="6"/>
  <c r="M31" i="6"/>
  <c r="N26" i="6"/>
  <c r="M64" i="6"/>
  <c r="N7" i="6"/>
  <c r="M18" i="6"/>
  <c r="N39" i="6"/>
  <c r="M25" i="6"/>
  <c r="M17" i="6"/>
  <c r="M12" i="6"/>
  <c r="M58" i="6"/>
  <c r="S49" i="6"/>
  <c r="M48" i="6"/>
  <c r="M9" i="6"/>
  <c r="M65" i="6"/>
  <c r="N64" i="6"/>
  <c r="N18" i="6"/>
  <c r="J72" i="6"/>
  <c r="J77" i="6" s="1"/>
  <c r="K74" i="6"/>
  <c r="N44" i="6"/>
  <c r="N16" i="6"/>
  <c r="S25" i="6"/>
  <c r="N40" i="6"/>
  <c r="M35" i="6"/>
  <c r="M30" i="6"/>
  <c r="M76" i="6" l="1"/>
  <c r="M74" i="6"/>
  <c r="T73" i="6"/>
  <c r="T74" i="6"/>
  <c r="S74" i="6"/>
  <c r="S73" i="6"/>
  <c r="N74" i="6"/>
  <c r="O19" i="6" s="1"/>
  <c r="Q19" i="6" s="1"/>
  <c r="N76" i="6"/>
  <c r="P14" i="6" l="1"/>
  <c r="P30" i="6"/>
  <c r="R30" i="6" s="1"/>
  <c r="P15" i="6"/>
  <c r="P31" i="6"/>
  <c r="R31" i="6" s="1"/>
  <c r="P16" i="6"/>
  <c r="P32" i="6"/>
  <c r="R32" i="6" s="1"/>
  <c r="P17" i="6"/>
  <c r="P33" i="6"/>
  <c r="R33" i="6" s="1"/>
  <c r="P18" i="6"/>
  <c r="P34" i="6"/>
  <c r="R34" i="6" s="1"/>
  <c r="P19" i="6"/>
  <c r="R19" i="6" s="1"/>
  <c r="P4" i="6"/>
  <c r="P20" i="6"/>
  <c r="P5" i="6"/>
  <c r="P21" i="6"/>
  <c r="P6" i="6"/>
  <c r="P22" i="6"/>
  <c r="P7" i="6"/>
  <c r="P23" i="6"/>
  <c r="P8" i="6"/>
  <c r="P24" i="6"/>
  <c r="R24" i="6" s="1"/>
  <c r="P9" i="6"/>
  <c r="P25" i="6"/>
  <c r="R25" i="6" s="1"/>
  <c r="P10" i="6"/>
  <c r="P26" i="6"/>
  <c r="R26" i="6" s="1"/>
  <c r="P11" i="6"/>
  <c r="P27" i="6"/>
  <c r="R27" i="6" s="1"/>
  <c r="P12" i="6"/>
  <c r="P28" i="6"/>
  <c r="R28" i="6" s="1"/>
  <c r="P13" i="6"/>
  <c r="P29" i="6"/>
  <c r="R29" i="6" s="1"/>
  <c r="P59" i="6"/>
  <c r="R59" i="6" s="1"/>
  <c r="P56" i="6"/>
  <c r="P57" i="6"/>
  <c r="P58" i="6"/>
  <c r="R58" i="6" s="1"/>
  <c r="O57" i="6"/>
  <c r="Q57" i="6" s="1"/>
  <c r="R57" i="6" s="1"/>
  <c r="O58" i="6"/>
  <c r="Q58" i="6" s="1"/>
  <c r="O59" i="6"/>
  <c r="Q59" i="6" s="1"/>
  <c r="O56" i="6"/>
  <c r="Q56" i="6" s="1"/>
  <c r="R56" i="6" s="1"/>
  <c r="O7" i="6"/>
  <c r="Q7" i="6" s="1"/>
  <c r="R7" i="6" s="1"/>
  <c r="O23" i="6"/>
  <c r="Q23" i="6" s="1"/>
  <c r="R23" i="6" s="1"/>
  <c r="O8" i="6"/>
  <c r="Q8" i="6" s="1"/>
  <c r="R8" i="6" s="1"/>
  <c r="O24" i="6"/>
  <c r="Q24" i="6" s="1"/>
  <c r="O9" i="6"/>
  <c r="Q9" i="6" s="1"/>
  <c r="R9" i="6" s="1"/>
  <c r="O25" i="6"/>
  <c r="Q25" i="6" s="1"/>
  <c r="O10" i="6"/>
  <c r="Q10" i="6" s="1"/>
  <c r="O26" i="6"/>
  <c r="Q26" i="6" s="1"/>
  <c r="O11" i="6"/>
  <c r="Q11" i="6" s="1"/>
  <c r="O27" i="6"/>
  <c r="Q27" i="6" s="1"/>
  <c r="O12" i="6"/>
  <c r="Q12" i="6" s="1"/>
  <c r="O28" i="6"/>
  <c r="Q28" i="6" s="1"/>
  <c r="O13" i="6"/>
  <c r="Q13" i="6" s="1"/>
  <c r="O29" i="6"/>
  <c r="Q29" i="6" s="1"/>
  <c r="O14" i="6"/>
  <c r="Q14" i="6" s="1"/>
  <c r="R14" i="6" s="1"/>
  <c r="O30" i="6"/>
  <c r="Q30" i="6" s="1"/>
  <c r="O15" i="6"/>
  <c r="Q15" i="6" s="1"/>
  <c r="R15" i="6" s="1"/>
  <c r="O31" i="6"/>
  <c r="Q31" i="6" s="1"/>
  <c r="O16" i="6"/>
  <c r="Q16" i="6" s="1"/>
  <c r="R16" i="6" s="1"/>
  <c r="O32" i="6"/>
  <c r="Q32" i="6" s="1"/>
  <c r="O17" i="6"/>
  <c r="Q17" i="6" s="1"/>
  <c r="R17" i="6" s="1"/>
  <c r="O33" i="6"/>
  <c r="Q33" i="6" s="1"/>
  <c r="O18" i="6"/>
  <c r="Q18" i="6" s="1"/>
  <c r="O34" i="6"/>
  <c r="Q34" i="6" s="1"/>
  <c r="O4" i="6"/>
  <c r="Q4" i="6" s="1"/>
  <c r="O20" i="6"/>
  <c r="Q20" i="6" s="1"/>
  <c r="O5" i="6"/>
  <c r="Q5" i="6" s="1"/>
  <c r="O21" i="6"/>
  <c r="Q21" i="6" s="1"/>
  <c r="O6" i="6"/>
  <c r="Q6" i="6" s="1"/>
  <c r="O22" i="6"/>
  <c r="Q22" i="6" s="1"/>
  <c r="R22" i="6" s="1"/>
  <c r="O4" i="5"/>
  <c r="P4" i="5"/>
  <c r="R6" i="6" l="1"/>
  <c r="R21" i="6"/>
  <c r="R5" i="6"/>
  <c r="R12" i="6"/>
  <c r="R20" i="6"/>
  <c r="R13" i="6"/>
  <c r="R4" i="6"/>
  <c r="R11" i="6"/>
  <c r="R18" i="6"/>
  <c r="R10" i="6"/>
  <c r="P47" i="5"/>
  <c r="P5" i="5"/>
  <c r="P31" i="5"/>
  <c r="P20" i="5"/>
  <c r="P64" i="5"/>
  <c r="P49" i="5"/>
  <c r="P15" i="5"/>
  <c r="P28" i="5"/>
  <c r="P54" i="5"/>
  <c r="P37" i="5"/>
  <c r="P65" i="5"/>
  <c r="P7" i="5"/>
  <c r="P25" i="5"/>
  <c r="P17" i="5"/>
  <c r="P41" i="5"/>
  <c r="P18" i="5"/>
  <c r="P33" i="5"/>
  <c r="P8" i="5"/>
  <c r="P22" i="5"/>
  <c r="P40" i="5"/>
  <c r="P11" i="5"/>
  <c r="P42" i="5"/>
  <c r="P23" i="5"/>
  <c r="P26" i="5"/>
  <c r="P56" i="5"/>
  <c r="P60" i="5"/>
  <c r="P68" i="5"/>
  <c r="P9" i="5"/>
  <c r="P14" i="5"/>
  <c r="P61" i="5"/>
  <c r="P35" i="5"/>
  <c r="P44" i="5"/>
  <c r="P32" i="5"/>
  <c r="P43" i="5"/>
  <c r="P13" i="5"/>
  <c r="P10" i="5"/>
  <c r="P45" i="5"/>
  <c r="P52" i="5"/>
  <c r="P50" i="5"/>
  <c r="P21" i="5"/>
  <c r="P38" i="5"/>
  <c r="P71" i="5"/>
  <c r="P69" i="5"/>
  <c r="P67" i="5"/>
  <c r="P34" i="5"/>
  <c r="P46" i="5"/>
  <c r="P29" i="5"/>
  <c r="P55" i="5"/>
  <c r="P24" i="5"/>
  <c r="P12" i="5"/>
  <c r="P39" i="5"/>
  <c r="P57" i="5"/>
  <c r="P62" i="5"/>
  <c r="P53" i="5"/>
  <c r="P6" i="5"/>
  <c r="P48" i="5"/>
  <c r="P19" i="5"/>
  <c r="P70" i="5"/>
  <c r="P63" i="5"/>
  <c r="P59" i="5"/>
  <c r="P36" i="5"/>
  <c r="P51" i="5"/>
  <c r="P66" i="5"/>
  <c r="P16" i="5"/>
  <c r="P27" i="5"/>
  <c r="P72" i="5" l="1"/>
  <c r="K30" i="5"/>
  <c r="K58" i="5"/>
  <c r="Q33" i="5"/>
  <c r="N53" i="6" l="1"/>
  <c r="M53" i="6"/>
  <c r="N50" i="6"/>
  <c r="M50" i="6"/>
  <c r="K79" i="6"/>
  <c r="K72" i="6"/>
  <c r="K75" i="6"/>
  <c r="N38" i="6"/>
  <c r="K73" i="6"/>
  <c r="M38" i="6"/>
  <c r="R47" i="5"/>
  <c r="R5" i="5"/>
  <c r="R31" i="5"/>
  <c r="R20" i="5"/>
  <c r="R64" i="5"/>
  <c r="R49" i="5"/>
  <c r="R15" i="5"/>
  <c r="R28" i="5"/>
  <c r="R54" i="5"/>
  <c r="R37" i="5"/>
  <c r="R65" i="5"/>
  <c r="R7" i="5"/>
  <c r="R25" i="5"/>
  <c r="R17" i="5"/>
  <c r="R41" i="5"/>
  <c r="R18" i="5"/>
  <c r="R33" i="5"/>
  <c r="R8" i="5"/>
  <c r="R22" i="5"/>
  <c r="R40" i="5"/>
  <c r="R11" i="5"/>
  <c r="R42" i="5"/>
  <c r="R23" i="5"/>
  <c r="R26" i="5"/>
  <c r="R56" i="5"/>
  <c r="R60" i="5"/>
  <c r="R68" i="5"/>
  <c r="R9" i="5"/>
  <c r="R14" i="5"/>
  <c r="R61" i="5"/>
  <c r="R35" i="5"/>
  <c r="R44" i="5"/>
  <c r="R32" i="5"/>
  <c r="R4" i="5"/>
  <c r="R43" i="5"/>
  <c r="R13" i="5"/>
  <c r="R10" i="5"/>
  <c r="R45" i="5"/>
  <c r="R52" i="5"/>
  <c r="R50" i="5"/>
  <c r="R21" i="5"/>
  <c r="R58" i="5"/>
  <c r="R38" i="5"/>
  <c r="R71" i="5"/>
  <c r="R69" i="5"/>
  <c r="R67" i="5"/>
  <c r="R34" i="5"/>
  <c r="R46" i="5"/>
  <c r="R29" i="5"/>
  <c r="R55" i="5"/>
  <c r="R24" i="5"/>
  <c r="R12" i="5"/>
  <c r="R39" i="5"/>
  <c r="R57" i="5"/>
  <c r="R62" i="5"/>
  <c r="R53" i="5"/>
  <c r="R6" i="5"/>
  <c r="R48" i="5"/>
  <c r="R19" i="5"/>
  <c r="R70" i="5"/>
  <c r="R63" i="5"/>
  <c r="R59" i="5"/>
  <c r="R36" i="5"/>
  <c r="R51" i="5"/>
  <c r="R66" i="5"/>
  <c r="R16" i="5"/>
  <c r="R27" i="5"/>
  <c r="R30" i="5"/>
  <c r="N73" i="6" l="1"/>
  <c r="M73" i="6"/>
  <c r="N75" i="6"/>
  <c r="M75" i="6"/>
  <c r="N72" i="6"/>
  <c r="N77" i="6" s="1"/>
  <c r="M72" i="6"/>
  <c r="L79" i="5"/>
  <c r="I79" i="5"/>
  <c r="G79" i="5"/>
  <c r="E73" i="5"/>
  <c r="E74" i="5"/>
  <c r="E75" i="5"/>
  <c r="E76" i="5"/>
  <c r="E72" i="5"/>
  <c r="F76" i="6" l="1"/>
  <c r="F74" i="6"/>
  <c r="F73" i="6"/>
  <c r="F75" i="6"/>
  <c r="F72" i="6"/>
  <c r="F72" i="5"/>
  <c r="P50" i="6"/>
  <c r="R50" i="6" s="1"/>
  <c r="P51" i="6"/>
  <c r="R51" i="6" s="1"/>
  <c r="P36" i="6"/>
  <c r="P52" i="6"/>
  <c r="R52" i="6" s="1"/>
  <c r="P37" i="6"/>
  <c r="P53" i="6"/>
  <c r="R53" i="6" s="1"/>
  <c r="P38" i="6"/>
  <c r="P54" i="6"/>
  <c r="R54" i="6" s="1"/>
  <c r="P39" i="6"/>
  <c r="P55" i="6"/>
  <c r="P40" i="6"/>
  <c r="P35" i="6"/>
  <c r="P41" i="6"/>
  <c r="P42" i="6"/>
  <c r="P43" i="6"/>
  <c r="R43" i="6" s="1"/>
  <c r="P44" i="6"/>
  <c r="R44" i="6" s="1"/>
  <c r="P45" i="6"/>
  <c r="R45" i="6" s="1"/>
  <c r="P46" i="6"/>
  <c r="R46" i="6" s="1"/>
  <c r="P47" i="6"/>
  <c r="R47" i="6" s="1"/>
  <c r="P48" i="6"/>
  <c r="R48" i="6" s="1"/>
  <c r="P49" i="6"/>
  <c r="R49" i="6" s="1"/>
  <c r="P61" i="6"/>
  <c r="P62" i="6"/>
  <c r="P63" i="6"/>
  <c r="R63" i="6" s="1"/>
  <c r="P64" i="6"/>
  <c r="R64" i="6" s="1"/>
  <c r="P65" i="6"/>
  <c r="R65" i="6" s="1"/>
  <c r="P66" i="6"/>
  <c r="R66" i="6" s="1"/>
  <c r="P67" i="6"/>
  <c r="R67" i="6" s="1"/>
  <c r="P68" i="6"/>
  <c r="P69" i="6"/>
  <c r="P70" i="6"/>
  <c r="P71" i="6"/>
  <c r="P60" i="6"/>
  <c r="O43" i="6"/>
  <c r="Q43" i="6" s="1"/>
  <c r="O44" i="6"/>
  <c r="Q44" i="6" s="1"/>
  <c r="O45" i="6"/>
  <c r="Q45" i="6" s="1"/>
  <c r="O46" i="6"/>
  <c r="Q46" i="6" s="1"/>
  <c r="O47" i="6"/>
  <c r="Q47" i="6" s="1"/>
  <c r="O48" i="6"/>
  <c r="Q48" i="6" s="1"/>
  <c r="O49" i="6"/>
  <c r="Q49" i="6" s="1"/>
  <c r="O50" i="6"/>
  <c r="Q50" i="6" s="1"/>
  <c r="O51" i="6"/>
  <c r="Q51" i="6" s="1"/>
  <c r="O36" i="6"/>
  <c r="Q36" i="6" s="1"/>
  <c r="O52" i="6"/>
  <c r="Q52" i="6" s="1"/>
  <c r="O37" i="6"/>
  <c r="Q37" i="6" s="1"/>
  <c r="O53" i="6"/>
  <c r="Q53" i="6" s="1"/>
  <c r="O38" i="6"/>
  <c r="Q38" i="6" s="1"/>
  <c r="O54" i="6"/>
  <c r="Q54" i="6" s="1"/>
  <c r="O39" i="6"/>
  <c r="Q39" i="6" s="1"/>
  <c r="O55" i="6"/>
  <c r="Q55" i="6" s="1"/>
  <c r="O40" i="6"/>
  <c r="Q40" i="6" s="1"/>
  <c r="O35" i="6"/>
  <c r="Q35" i="6" s="1"/>
  <c r="O41" i="6"/>
  <c r="Q41" i="6" s="1"/>
  <c r="O42" i="6"/>
  <c r="Q42" i="6" s="1"/>
  <c r="O68" i="6"/>
  <c r="Q68" i="6" s="1"/>
  <c r="O69" i="6"/>
  <c r="Q69" i="6" s="1"/>
  <c r="O70" i="6"/>
  <c r="Q70" i="6" s="1"/>
  <c r="O71" i="6"/>
  <c r="Q71" i="6" s="1"/>
  <c r="O60" i="6"/>
  <c r="Q60" i="6" s="1"/>
  <c r="O61" i="6"/>
  <c r="Q61" i="6" s="1"/>
  <c r="O62" i="6"/>
  <c r="Q62" i="6" s="1"/>
  <c r="O63" i="6"/>
  <c r="Q63" i="6" s="1"/>
  <c r="O64" i="6"/>
  <c r="Q64" i="6" s="1"/>
  <c r="O65" i="6"/>
  <c r="Q65" i="6" s="1"/>
  <c r="O66" i="6"/>
  <c r="Q66" i="6" s="1"/>
  <c r="O67" i="6"/>
  <c r="Q67" i="6" s="1"/>
  <c r="K33" i="5"/>
  <c r="O33" i="5"/>
  <c r="E73" i="1"/>
  <c r="S73" i="1" s="1"/>
  <c r="S39" i="1"/>
  <c r="S5" i="1"/>
  <c r="S27" i="1"/>
  <c r="S17" i="1"/>
  <c r="S63" i="1"/>
  <c r="S46" i="1"/>
  <c r="S15" i="1"/>
  <c r="S51" i="1"/>
  <c r="S23" i="1"/>
  <c r="S53" i="1"/>
  <c r="Q54" i="5" s="1"/>
  <c r="S49" i="1"/>
  <c r="S36" i="1"/>
  <c r="S58" i="1"/>
  <c r="S8" i="1"/>
  <c r="S18" i="1"/>
  <c r="S29" i="1"/>
  <c r="S38" i="1"/>
  <c r="S31" i="1"/>
  <c r="S7" i="1"/>
  <c r="S13" i="1"/>
  <c r="S41" i="1"/>
  <c r="S16" i="1"/>
  <c r="S50" i="1"/>
  <c r="S42" i="1"/>
  <c r="S22" i="1"/>
  <c r="S55" i="1"/>
  <c r="S60" i="1"/>
  <c r="S68" i="1"/>
  <c r="S6" i="1"/>
  <c r="S20" i="1"/>
  <c r="S62" i="1"/>
  <c r="S34" i="1"/>
  <c r="S37" i="1"/>
  <c r="S30" i="1"/>
  <c r="S4" i="1"/>
  <c r="S48" i="1"/>
  <c r="S10" i="1"/>
  <c r="S25" i="1"/>
  <c r="S43" i="1"/>
  <c r="S52" i="1"/>
  <c r="S47" i="1"/>
  <c r="S11" i="1"/>
  <c r="S72" i="1"/>
  <c r="S71" i="1"/>
  <c r="S69" i="1"/>
  <c r="S67" i="1"/>
  <c r="S56" i="1"/>
  <c r="S33" i="1"/>
  <c r="S32" i="1"/>
  <c r="S44" i="1"/>
  <c r="S26" i="1"/>
  <c r="S54" i="1"/>
  <c r="S21" i="1"/>
  <c r="S12" i="1"/>
  <c r="S40" i="1"/>
  <c r="S57" i="1"/>
  <c r="S61" i="1"/>
  <c r="S9" i="1"/>
  <c r="S45" i="1"/>
  <c r="S14" i="1"/>
  <c r="S70" i="1"/>
  <c r="S65" i="1"/>
  <c r="S59" i="1"/>
  <c r="S35" i="1"/>
  <c r="S64" i="1"/>
  <c r="Q65" i="5" s="1"/>
  <c r="S66" i="1"/>
  <c r="S19" i="1"/>
  <c r="Q25" i="5" s="1"/>
  <c r="S24" i="1"/>
  <c r="R60" i="6" l="1"/>
  <c r="R61" i="6"/>
  <c r="P72" i="6"/>
  <c r="R37" i="6"/>
  <c r="R36" i="6"/>
  <c r="R55" i="6"/>
  <c r="R71" i="6"/>
  <c r="R70" i="6"/>
  <c r="R69" i="6"/>
  <c r="R42" i="6"/>
  <c r="R68" i="6"/>
  <c r="R41" i="6"/>
  <c r="R62" i="6"/>
  <c r="R40" i="6"/>
  <c r="R39" i="6"/>
  <c r="R38" i="6"/>
  <c r="R35" i="6"/>
  <c r="Q72" i="6"/>
  <c r="O72" i="6"/>
  <c r="Q42" i="5"/>
  <c r="K21" i="5"/>
  <c r="K36" i="5"/>
  <c r="Q61" i="5"/>
  <c r="Q7" i="5"/>
  <c r="Q34" i="5"/>
  <c r="K12" i="5"/>
  <c r="K62" i="5"/>
  <c r="O50" i="5"/>
  <c r="Q17" i="5"/>
  <c r="Q11" i="5"/>
  <c r="K49" i="5"/>
  <c r="K45" i="5"/>
  <c r="Q14" i="5"/>
  <c r="Q40" i="5"/>
  <c r="K68" i="5"/>
  <c r="Q70" i="5"/>
  <c r="O64" i="5"/>
  <c r="K63" i="5"/>
  <c r="K10" i="5"/>
  <c r="K24" i="5"/>
  <c r="Q69" i="5"/>
  <c r="Q41" i="5"/>
  <c r="K13" i="5"/>
  <c r="Q16" i="5"/>
  <c r="K27" i="5"/>
  <c r="K19" i="5"/>
  <c r="K55" i="5"/>
  <c r="O71" i="5"/>
  <c r="Q18" i="5"/>
  <c r="K43" i="5"/>
  <c r="Q22" i="5"/>
  <c r="Q37" i="5"/>
  <c r="K20" i="5"/>
  <c r="K51" i="5"/>
  <c r="K44" i="5"/>
  <c r="O26" i="5"/>
  <c r="Q28" i="5"/>
  <c r="Q47" i="5"/>
  <c r="Q57" i="5"/>
  <c r="Q8" i="5"/>
  <c r="K52" i="5"/>
  <c r="K35" i="5"/>
  <c r="O23" i="5"/>
  <c r="K53" i="5"/>
  <c r="O25" i="5"/>
  <c r="Q4" i="5"/>
  <c r="O31" i="5"/>
  <c r="Q31" i="5"/>
  <c r="K31" i="5"/>
  <c r="K46" i="5"/>
  <c r="Q46" i="5"/>
  <c r="K25" i="5"/>
  <c r="O42" i="5"/>
  <c r="K48" i="5"/>
  <c r="Q48" i="5"/>
  <c r="Q36" i="5"/>
  <c r="K42" i="5"/>
  <c r="Q29" i="5"/>
  <c r="K29" i="5"/>
  <c r="K32" i="5"/>
  <c r="Q32" i="5"/>
  <c r="Q12" i="5"/>
  <c r="K67" i="5"/>
  <c r="Q67" i="5"/>
  <c r="O65" i="5"/>
  <c r="O54" i="5"/>
  <c r="K38" i="5"/>
  <c r="Q38" i="5"/>
  <c r="Q6" i="5"/>
  <c r="K6" i="5"/>
  <c r="K56" i="5"/>
  <c r="Q56" i="5"/>
  <c r="K39" i="5"/>
  <c r="Q39" i="5"/>
  <c r="K61" i="5"/>
  <c r="K70" i="5"/>
  <c r="K16" i="5"/>
  <c r="K65" i="5"/>
  <c r="K54" i="5"/>
  <c r="O22" i="5"/>
  <c r="K11" i="5"/>
  <c r="F86" i="1"/>
  <c r="E86" i="1"/>
  <c r="R72" i="6" l="1"/>
  <c r="S72" i="6"/>
  <c r="Q50" i="5"/>
  <c r="Q64" i="5"/>
  <c r="K50" i="5"/>
  <c r="K57" i="5"/>
  <c r="Q43" i="5"/>
  <c r="Q21" i="5"/>
  <c r="Q13" i="5"/>
  <c r="O41" i="5"/>
  <c r="K17" i="5"/>
  <c r="O17" i="5"/>
  <c r="K69" i="5"/>
  <c r="K7" i="5"/>
  <c r="O7" i="5"/>
  <c r="Q45" i="5"/>
  <c r="Q68" i="5"/>
  <c r="K40" i="5"/>
  <c r="K28" i="5"/>
  <c r="O28" i="5"/>
  <c r="K71" i="5"/>
  <c r="K18" i="5"/>
  <c r="K34" i="5"/>
  <c r="O18" i="5"/>
  <c r="Q62" i="5"/>
  <c r="Q53" i="5"/>
  <c r="K14" i="5"/>
  <c r="Q44" i="5"/>
  <c r="Q24" i="5"/>
  <c r="K41" i="5"/>
  <c r="O40" i="5"/>
  <c r="Q71" i="5"/>
  <c r="Q10" i="5"/>
  <c r="O8" i="5"/>
  <c r="O20" i="5"/>
  <c r="Q20" i="5"/>
  <c r="Q27" i="5"/>
  <c r="Q19" i="5"/>
  <c r="Q49" i="5"/>
  <c r="Q35" i="5"/>
  <c r="O37" i="5"/>
  <c r="K8" i="5"/>
  <c r="O11" i="5"/>
  <c r="O49" i="5"/>
  <c r="Q63" i="5"/>
  <c r="K22" i="5"/>
  <c r="K37" i="5"/>
  <c r="O47" i="5"/>
  <c r="Q15" i="5"/>
  <c r="K15" i="5"/>
  <c r="O15" i="5"/>
  <c r="K47" i="5"/>
  <c r="J75" i="5"/>
  <c r="Q52" i="5"/>
  <c r="Q51" i="5"/>
  <c r="Q55" i="5"/>
  <c r="Q23" i="5"/>
  <c r="K23" i="5"/>
  <c r="Q26" i="5"/>
  <c r="K26" i="5"/>
  <c r="K64" i="5"/>
  <c r="Q58" i="5"/>
  <c r="S28" i="1"/>
  <c r="K60" i="5" l="1"/>
  <c r="Q60" i="5"/>
  <c r="K66" i="5"/>
  <c r="Q66" i="5"/>
  <c r="J76" i="5"/>
  <c r="S76" i="1"/>
  <c r="S75" i="1"/>
  <c r="K9" i="5" l="1"/>
  <c r="Q9" i="5"/>
  <c r="Q59" i="5"/>
  <c r="K59" i="5"/>
  <c r="O5" i="5"/>
  <c r="Q5" i="5"/>
  <c r="K5" i="5"/>
  <c r="O30" i="5"/>
  <c r="Q30" i="5"/>
  <c r="J74" i="5"/>
  <c r="U50" i="5"/>
  <c r="J77" i="5" l="1"/>
  <c r="K72" i="5"/>
  <c r="Q72" i="5"/>
  <c r="S50" i="5"/>
  <c r="T50" i="5" s="1"/>
  <c r="N58" i="5"/>
  <c r="O58" i="5"/>
  <c r="I76" i="5"/>
  <c r="K76" i="5" s="1"/>
  <c r="G76" i="5"/>
  <c r="L75" i="5"/>
  <c r="L75" i="6" s="1"/>
  <c r="I75" i="5"/>
  <c r="K75" i="5" s="1"/>
  <c r="G75" i="5"/>
  <c r="I74" i="5"/>
  <c r="K74" i="5" s="1"/>
  <c r="G74" i="5"/>
  <c r="L73" i="5"/>
  <c r="L73" i="6" s="1"/>
  <c r="I73" i="5"/>
  <c r="K73" i="5" s="1"/>
  <c r="O59" i="5"/>
  <c r="N59" i="5"/>
  <c r="N16" i="5"/>
  <c r="O56" i="5"/>
  <c r="N56" i="5"/>
  <c r="O57" i="5"/>
  <c r="N57" i="5"/>
  <c r="O14" i="5"/>
  <c r="N14" i="5"/>
  <c r="O55" i="5"/>
  <c r="N55" i="5"/>
  <c r="N54" i="5"/>
  <c r="O52" i="5"/>
  <c r="N52" i="5"/>
  <c r="N50" i="5"/>
  <c r="O53" i="5"/>
  <c r="N53" i="5"/>
  <c r="O36" i="5"/>
  <c r="N36" i="5"/>
  <c r="N42" i="5"/>
  <c r="O51" i="5"/>
  <c r="N51" i="5"/>
  <c r="O43" i="5"/>
  <c r="N43" i="5"/>
  <c r="N49" i="5"/>
  <c r="O48" i="5"/>
  <c r="N48" i="5"/>
  <c r="O46" i="5"/>
  <c r="N46" i="5"/>
  <c r="O45" i="5"/>
  <c r="N45" i="5"/>
  <c r="N23" i="5"/>
  <c r="N40" i="5"/>
  <c r="O39" i="5"/>
  <c r="N39" i="5"/>
  <c r="N47" i="5"/>
  <c r="O44" i="5"/>
  <c r="N44" i="5"/>
  <c r="N37" i="5"/>
  <c r="O35" i="5"/>
  <c r="N35" i="5"/>
  <c r="O34" i="5"/>
  <c r="N34" i="5"/>
  <c r="N33" i="5"/>
  <c r="O32" i="5"/>
  <c r="N32" i="5"/>
  <c r="N31" i="5"/>
  <c r="O29" i="5"/>
  <c r="N29" i="5"/>
  <c r="N30" i="5"/>
  <c r="O10" i="5"/>
  <c r="N10" i="5"/>
  <c r="N18" i="5"/>
  <c r="N28" i="5"/>
  <c r="N26" i="5"/>
  <c r="O24" i="5"/>
  <c r="N24" i="5"/>
  <c r="O27" i="5"/>
  <c r="N27" i="5"/>
  <c r="O12" i="5"/>
  <c r="N12" i="5"/>
  <c r="N8" i="5"/>
  <c r="N22" i="5"/>
  <c r="N17" i="5"/>
  <c r="N15" i="5"/>
  <c r="N25" i="5"/>
  <c r="O19" i="5"/>
  <c r="N19" i="5"/>
  <c r="O13" i="5"/>
  <c r="N13" i="5"/>
  <c r="N20" i="5"/>
  <c r="N41" i="5"/>
  <c r="N11" i="5"/>
  <c r="O21" i="5"/>
  <c r="N21" i="5"/>
  <c r="O6" i="5"/>
  <c r="N6" i="5"/>
  <c r="N5" i="5"/>
  <c r="O9" i="5"/>
  <c r="N9" i="5"/>
  <c r="N4" i="5"/>
  <c r="O38" i="5"/>
  <c r="N38" i="5"/>
  <c r="N71" i="5"/>
  <c r="O70" i="5"/>
  <c r="N70" i="5"/>
  <c r="O69" i="5"/>
  <c r="N69" i="5"/>
  <c r="O68" i="5"/>
  <c r="N68" i="5"/>
  <c r="O63" i="5"/>
  <c r="N63" i="5"/>
  <c r="O67" i="5"/>
  <c r="N67" i="5"/>
  <c r="O66" i="5"/>
  <c r="N66" i="5"/>
  <c r="N65" i="5"/>
  <c r="O61" i="5"/>
  <c r="N61" i="5"/>
  <c r="O62" i="5"/>
  <c r="N62" i="5"/>
  <c r="O60" i="5"/>
  <c r="N60" i="5"/>
  <c r="F77" i="1"/>
  <c r="G77" i="1"/>
  <c r="E77" i="1"/>
  <c r="F76" i="5" s="1"/>
  <c r="F76" i="1"/>
  <c r="G76" i="1"/>
  <c r="H76" i="1"/>
  <c r="M75" i="5" s="1"/>
  <c r="E76" i="1"/>
  <c r="F75" i="5" s="1"/>
  <c r="E75" i="1"/>
  <c r="F74" i="5" s="1"/>
  <c r="F75" i="1"/>
  <c r="G75" i="1"/>
  <c r="E74" i="1"/>
  <c r="F73" i="5" s="1"/>
  <c r="H74" i="1"/>
  <c r="G74" i="1"/>
  <c r="F74" i="1"/>
  <c r="M73" i="5" l="1"/>
  <c r="H74" i="6"/>
  <c r="H74" i="5"/>
  <c r="H76" i="6"/>
  <c r="H76" i="5"/>
  <c r="H75" i="6"/>
  <c r="H75" i="5"/>
  <c r="Q73" i="5"/>
  <c r="Q74" i="5"/>
  <c r="N75" i="5"/>
  <c r="O75" i="5"/>
  <c r="O73" i="5"/>
  <c r="L74" i="5"/>
  <c r="L74" i="6" s="1"/>
  <c r="L76" i="5"/>
  <c r="L76" i="6" s="1"/>
  <c r="O16" i="5"/>
  <c r="N7" i="5"/>
  <c r="L72" i="5"/>
  <c r="L72" i="6" s="1"/>
  <c r="F79" i="1"/>
  <c r="O75" i="6" l="1"/>
  <c r="M72" i="5"/>
  <c r="L77" i="5"/>
  <c r="K77" i="6"/>
  <c r="O74" i="5"/>
  <c r="W2" i="6"/>
  <c r="O76" i="5"/>
  <c r="O72" i="5"/>
  <c r="N74" i="5"/>
  <c r="N76" i="5"/>
  <c r="O76" i="6" l="1"/>
  <c r="O74" i="6"/>
  <c r="J76" i="1"/>
  <c r="I74" i="1" l="1"/>
  <c r="J74" i="1"/>
  <c r="L64" i="1" s="1"/>
  <c r="I76" i="1"/>
  <c r="P75" i="5" s="1"/>
  <c r="L35" i="1"/>
  <c r="L42" i="1"/>
  <c r="L50" i="1"/>
  <c r="L41" i="1"/>
  <c r="L43" i="1"/>
  <c r="M43" i="1" s="1"/>
  <c r="L40" i="1"/>
  <c r="M40" i="1" s="1"/>
  <c r="L54" i="1"/>
  <c r="L48" i="1"/>
  <c r="M48" i="1" s="1"/>
  <c r="L39" i="1"/>
  <c r="M39" i="1" s="1"/>
  <c r="L53" i="1"/>
  <c r="L46" i="1"/>
  <c r="L37" i="1"/>
  <c r="M37" i="1" s="1"/>
  <c r="L34" i="1"/>
  <c r="M34" i="1" s="1"/>
  <c r="L52" i="1"/>
  <c r="L45" i="1"/>
  <c r="L36" i="1"/>
  <c r="M36" i="1" s="1"/>
  <c r="L51" i="1"/>
  <c r="L49" i="1"/>
  <c r="L47" i="1"/>
  <c r="L44" i="1"/>
  <c r="M44" i="1" s="1"/>
  <c r="F87" i="1"/>
  <c r="F88" i="1" s="1"/>
  <c r="E87" i="1"/>
  <c r="E88" i="1" s="1"/>
  <c r="O39" i="1" l="1"/>
  <c r="K52" i="1"/>
  <c r="K41" i="1"/>
  <c r="K35" i="1"/>
  <c r="K43" i="1"/>
  <c r="N43" i="1" s="1"/>
  <c r="O43" i="1" s="1"/>
  <c r="K36" i="1"/>
  <c r="N36" i="1" s="1"/>
  <c r="O36" i="1" s="1"/>
  <c r="K53" i="1"/>
  <c r="N53" i="1" s="1"/>
  <c r="K37" i="1"/>
  <c r="N37" i="1" s="1"/>
  <c r="O37" i="1" s="1"/>
  <c r="K34" i="1"/>
  <c r="N34" i="1" s="1"/>
  <c r="O34" i="1" s="1"/>
  <c r="K49" i="1"/>
  <c r="K47" i="1"/>
  <c r="K39" i="1"/>
  <c r="N39" i="1" s="1"/>
  <c r="K45" i="1"/>
  <c r="K48" i="1"/>
  <c r="N48" i="1" s="1"/>
  <c r="O48" i="1" s="1"/>
  <c r="K51" i="1"/>
  <c r="K40" i="1"/>
  <c r="N40" i="1" s="1"/>
  <c r="O40" i="1" s="1"/>
  <c r="K54" i="1"/>
  <c r="K42" i="1"/>
  <c r="N42" i="1" s="1"/>
  <c r="K46" i="1"/>
  <c r="N46" i="1" s="1"/>
  <c r="K44" i="1"/>
  <c r="N44" i="1" s="1"/>
  <c r="O44" i="1" s="1"/>
  <c r="K50" i="1"/>
  <c r="N50" i="1" s="1"/>
  <c r="K71" i="1"/>
  <c r="K60" i="1"/>
  <c r="N60" i="1" s="1"/>
  <c r="K70" i="1"/>
  <c r="N70" i="1" s="1"/>
  <c r="K65" i="1"/>
  <c r="K61" i="1"/>
  <c r="K72" i="1"/>
  <c r="K64" i="1"/>
  <c r="K66" i="1"/>
  <c r="K68" i="1"/>
  <c r="K67" i="1"/>
  <c r="K69" i="1"/>
  <c r="K62" i="1"/>
  <c r="K63" i="1"/>
  <c r="M45" i="1"/>
  <c r="M54" i="1"/>
  <c r="M51" i="1"/>
  <c r="M35" i="1"/>
  <c r="M52" i="1"/>
  <c r="M41" i="1"/>
  <c r="M47" i="1"/>
  <c r="M46" i="1"/>
  <c r="M50" i="1"/>
  <c r="M49" i="1"/>
  <c r="M53" i="1"/>
  <c r="M42" i="1"/>
  <c r="M64" i="1"/>
  <c r="L65" i="1"/>
  <c r="L61" i="1"/>
  <c r="M61" i="1" s="1"/>
  <c r="L67" i="1"/>
  <c r="L63" i="1"/>
  <c r="L69" i="1"/>
  <c r="M69" i="1" s="1"/>
  <c r="L72" i="1"/>
  <c r="L71" i="1"/>
  <c r="M71" i="1" s="1"/>
  <c r="L70" i="1"/>
  <c r="M70" i="1" s="1"/>
  <c r="L68" i="1"/>
  <c r="M68" i="1" s="1"/>
  <c r="L66" i="1"/>
  <c r="L62" i="1"/>
  <c r="L60" i="1"/>
  <c r="M60" i="1" s="1"/>
  <c r="O70" i="1" l="1"/>
  <c r="N35" i="1"/>
  <c r="N54" i="1"/>
  <c r="N68" i="1"/>
  <c r="O71" i="1"/>
  <c r="O45" i="1"/>
  <c r="N52" i="1"/>
  <c r="O52" i="1" s="1"/>
  <c r="N51" i="1"/>
  <c r="O51" i="1" s="1"/>
  <c r="O35" i="1"/>
  <c r="O61" i="1"/>
  <c r="N69" i="1"/>
  <c r="O69" i="1" s="1"/>
  <c r="N64" i="1"/>
  <c r="O64" i="1" s="1"/>
  <c r="O68" i="1"/>
  <c r="N71" i="1"/>
  <c r="O54" i="1"/>
  <c r="O53" i="1"/>
  <c r="N45" i="1"/>
  <c r="O60" i="1"/>
  <c r="N47" i="1"/>
  <c r="O47" i="1" s="1"/>
  <c r="N41" i="1"/>
  <c r="O41" i="1" s="1"/>
  <c r="N63" i="1"/>
  <c r="N62" i="1"/>
  <c r="O42" i="1"/>
  <c r="N66" i="1"/>
  <c r="O50" i="1"/>
  <c r="O46" i="1"/>
  <c r="N61" i="1"/>
  <c r="N49" i="1"/>
  <c r="O49" i="1" s="1"/>
  <c r="M62" i="1"/>
  <c r="M67" i="1"/>
  <c r="N67" i="1" s="1"/>
  <c r="M63" i="1"/>
  <c r="M66" i="1"/>
  <c r="M72" i="1"/>
  <c r="M65" i="1"/>
  <c r="J5" i="1"/>
  <c r="J29" i="1"/>
  <c r="J41" i="1"/>
  <c r="J39" i="1"/>
  <c r="J27" i="1"/>
  <c r="J17" i="1"/>
  <c r="J63" i="1"/>
  <c r="J12" i="1"/>
  <c r="J40" i="1"/>
  <c r="J15" i="1"/>
  <c r="J35" i="1"/>
  <c r="J38" i="1"/>
  <c r="J23" i="1"/>
  <c r="J53" i="1"/>
  <c r="J18" i="1"/>
  <c r="J49" i="1"/>
  <c r="J31" i="1"/>
  <c r="J7" i="1"/>
  <c r="J13" i="1"/>
  <c r="J44" i="1"/>
  <c r="J51" i="1"/>
  <c r="J48" i="1"/>
  <c r="J16" i="1"/>
  <c r="J22" i="1"/>
  <c r="J50" i="1"/>
  <c r="J30" i="1"/>
  <c r="J55" i="1"/>
  <c r="J60" i="1"/>
  <c r="J68" i="1"/>
  <c r="J36" i="1"/>
  <c r="J20" i="1"/>
  <c r="J62" i="1"/>
  <c r="J45" i="1"/>
  <c r="J10" i="1"/>
  <c r="J25" i="1"/>
  <c r="J34" i="1"/>
  <c r="J52" i="1"/>
  <c r="J47" i="1"/>
  <c r="J72" i="1"/>
  <c r="J71" i="1"/>
  <c r="J69" i="1"/>
  <c r="J67" i="1"/>
  <c r="J56" i="1"/>
  <c r="J33" i="1"/>
  <c r="J64" i="1"/>
  <c r="J66" i="1"/>
  <c r="J19" i="1"/>
  <c r="J46" i="1"/>
  <c r="J37" i="1"/>
  <c r="J26" i="1"/>
  <c r="J54" i="1"/>
  <c r="J21" i="1"/>
  <c r="J57" i="1"/>
  <c r="J61" i="1"/>
  <c r="J9" i="1"/>
  <c r="J6" i="1"/>
  <c r="J32" i="1"/>
  <c r="J14" i="1"/>
  <c r="J43" i="1"/>
  <c r="J70" i="1"/>
  <c r="J65" i="1"/>
  <c r="J59" i="1"/>
  <c r="J11" i="1"/>
  <c r="J42" i="1"/>
  <c r="J24" i="1"/>
  <c r="J28" i="1"/>
  <c r="I5" i="1"/>
  <c r="I29" i="1"/>
  <c r="I41" i="1"/>
  <c r="I39" i="1"/>
  <c r="I27" i="1"/>
  <c r="I17" i="1"/>
  <c r="I63" i="1"/>
  <c r="I12" i="1"/>
  <c r="I40" i="1"/>
  <c r="I15" i="1"/>
  <c r="I35" i="1"/>
  <c r="I38" i="1"/>
  <c r="I23" i="1"/>
  <c r="I53" i="1"/>
  <c r="I18" i="1"/>
  <c r="I49" i="1"/>
  <c r="I31" i="1"/>
  <c r="I7" i="1"/>
  <c r="I13" i="1"/>
  <c r="I44" i="1"/>
  <c r="I51" i="1"/>
  <c r="I48" i="1"/>
  <c r="I16" i="1"/>
  <c r="I22" i="1"/>
  <c r="I50" i="1"/>
  <c r="I30" i="1"/>
  <c r="I55" i="1"/>
  <c r="I60" i="1"/>
  <c r="I68" i="1"/>
  <c r="I36" i="1"/>
  <c r="I20" i="1"/>
  <c r="I62" i="1"/>
  <c r="I45" i="1"/>
  <c r="I10" i="1"/>
  <c r="I25" i="1"/>
  <c r="I34" i="1"/>
  <c r="I52" i="1"/>
  <c r="I47" i="1"/>
  <c r="I72" i="1"/>
  <c r="I71" i="1"/>
  <c r="I69" i="1"/>
  <c r="I67" i="1"/>
  <c r="I56" i="1"/>
  <c r="I33" i="1"/>
  <c r="I64" i="1"/>
  <c r="I66" i="1"/>
  <c r="I19" i="1"/>
  <c r="I46" i="1"/>
  <c r="I37" i="1"/>
  <c r="I26" i="1"/>
  <c r="I54" i="1"/>
  <c r="I21" i="1"/>
  <c r="I57" i="1"/>
  <c r="I61" i="1"/>
  <c r="I9" i="1"/>
  <c r="I6" i="1"/>
  <c r="I32" i="1"/>
  <c r="I14" i="1"/>
  <c r="I43" i="1"/>
  <c r="I70" i="1"/>
  <c r="I65" i="1"/>
  <c r="I59" i="1"/>
  <c r="I11" i="1"/>
  <c r="I42" i="1"/>
  <c r="I24" i="1"/>
  <c r="I28" i="1"/>
  <c r="H75" i="1"/>
  <c r="M74" i="5" s="1"/>
  <c r="O63" i="1" l="1"/>
  <c r="O66" i="1"/>
  <c r="N72" i="1"/>
  <c r="O72" i="1" s="1"/>
  <c r="O67" i="1"/>
  <c r="O62" i="1"/>
  <c r="N65" i="1"/>
  <c r="O65" i="1" s="1"/>
  <c r="H77" i="1"/>
  <c r="M76" i="5" s="1"/>
  <c r="H79" i="1"/>
  <c r="I8" i="1"/>
  <c r="J58" i="1"/>
  <c r="I58" i="1"/>
  <c r="J8" i="1"/>
  <c r="U2" i="5" l="1"/>
  <c r="T2" i="1"/>
  <c r="P65" i="1" s="1"/>
  <c r="J77" i="1"/>
  <c r="I77" i="1"/>
  <c r="P76" i="5" s="1"/>
  <c r="J75" i="1"/>
  <c r="I75" i="1"/>
  <c r="P74" i="5" s="1"/>
  <c r="J73" i="1"/>
  <c r="H88" i="1"/>
  <c r="I73" i="1"/>
  <c r="P52" i="1" l="1"/>
  <c r="P46" i="1"/>
  <c r="P70" i="1"/>
  <c r="P66" i="1"/>
  <c r="P43" i="1"/>
  <c r="P62" i="1"/>
  <c r="P67" i="1"/>
  <c r="P45" i="1"/>
  <c r="P54" i="1"/>
  <c r="P48" i="1"/>
  <c r="P68" i="1"/>
  <c r="P71" i="1"/>
  <c r="P49" i="1"/>
  <c r="P64" i="1"/>
  <c r="P37" i="1"/>
  <c r="P51" i="1"/>
  <c r="P34" i="1"/>
  <c r="P42" i="1"/>
  <c r="P44" i="1"/>
  <c r="P63" i="1"/>
  <c r="P40" i="1"/>
  <c r="P69" i="1"/>
  <c r="P41" i="1"/>
  <c r="P50" i="1"/>
  <c r="P72" i="1"/>
  <c r="P53" i="1"/>
  <c r="P35" i="1"/>
  <c r="P60" i="1"/>
  <c r="P39" i="1"/>
  <c r="P61" i="1"/>
  <c r="P36" i="1"/>
  <c r="P47" i="1"/>
  <c r="K59" i="1"/>
  <c r="K20" i="1"/>
  <c r="K58" i="1"/>
  <c r="K57" i="1"/>
  <c r="K55" i="1"/>
  <c r="K11" i="1"/>
  <c r="K33" i="1"/>
  <c r="K16" i="1"/>
  <c r="K8" i="1"/>
  <c r="K17" i="1"/>
  <c r="K27" i="1"/>
  <c r="K14" i="1"/>
  <c r="N14" i="1" s="1"/>
  <c r="K18" i="1"/>
  <c r="N18" i="1" s="1"/>
  <c r="K31" i="1"/>
  <c r="K29" i="1"/>
  <c r="K24" i="1"/>
  <c r="N24" i="1" s="1"/>
  <c r="K56" i="1"/>
  <c r="K19" i="1"/>
  <c r="K25" i="1"/>
  <c r="K5" i="1"/>
  <c r="K12" i="1"/>
  <c r="K28" i="1"/>
  <c r="K21" i="1"/>
  <c r="K15" i="1"/>
  <c r="N15" i="1" s="1"/>
  <c r="K9" i="1"/>
  <c r="K10" i="1"/>
  <c r="K38" i="1"/>
  <c r="N38" i="1" s="1"/>
  <c r="K4" i="1"/>
  <c r="K23" i="1"/>
  <c r="K30" i="1"/>
  <c r="K26" i="1"/>
  <c r="K6" i="1"/>
  <c r="K7" i="1"/>
  <c r="K32" i="1"/>
  <c r="K22" i="1"/>
  <c r="K13" i="1"/>
  <c r="I88" i="1"/>
  <c r="L11" i="1"/>
  <c r="M11" i="1" s="1"/>
  <c r="L15" i="1"/>
  <c r="M15" i="1" s="1"/>
  <c r="L22" i="1"/>
  <c r="L29" i="1"/>
  <c r="L8" i="1"/>
  <c r="M8" i="1" s="1"/>
  <c r="L18" i="1"/>
  <c r="M18" i="1" s="1"/>
  <c r="L23" i="1"/>
  <c r="L32" i="1"/>
  <c r="L9" i="1"/>
  <c r="M9" i="1" s="1"/>
  <c r="L16" i="1"/>
  <c r="M16" i="1" s="1"/>
  <c r="L13" i="1"/>
  <c r="M13" i="1" s="1"/>
  <c r="L31" i="1"/>
  <c r="L33" i="1"/>
  <c r="L17" i="1"/>
  <c r="L38" i="1"/>
  <c r="M38" i="1" s="1"/>
  <c r="L7" i="1"/>
  <c r="M7" i="1" s="1"/>
  <c r="L25" i="1"/>
  <c r="L4" i="1"/>
  <c r="L28" i="1"/>
  <c r="L21" i="1"/>
  <c r="L12" i="1"/>
  <c r="L30" i="1"/>
  <c r="L6" i="1"/>
  <c r="L10" i="1"/>
  <c r="L56" i="1"/>
  <c r="L26" i="1"/>
  <c r="L5" i="1"/>
  <c r="M5" i="1" s="1"/>
  <c r="L14" i="1"/>
  <c r="M14" i="1" s="1"/>
  <c r="L24" i="1"/>
  <c r="M24" i="1" s="1"/>
  <c r="L27" i="1"/>
  <c r="L19" i="1"/>
  <c r="M19" i="1" s="1"/>
  <c r="L20" i="1"/>
  <c r="M20" i="1" s="1"/>
  <c r="L57" i="1"/>
  <c r="M57" i="1" s="1"/>
  <c r="L55" i="1"/>
  <c r="L58" i="1"/>
  <c r="L59" i="1"/>
  <c r="O18" i="1" l="1"/>
  <c r="N28" i="1"/>
  <c r="N27" i="1"/>
  <c r="N9" i="1"/>
  <c r="O9" i="1" s="1"/>
  <c r="P9" i="1" s="1"/>
  <c r="O57" i="1"/>
  <c r="P57" i="1" s="1"/>
  <c r="N55" i="1"/>
  <c r="N8" i="1"/>
  <c r="O8" i="1" s="1"/>
  <c r="P8" i="1" s="1"/>
  <c r="O15" i="1"/>
  <c r="P15" i="1" s="1"/>
  <c r="O11" i="1"/>
  <c r="P11" i="1" s="1"/>
  <c r="N57" i="1"/>
  <c r="N11" i="1"/>
  <c r="O38" i="1"/>
  <c r="N25" i="1"/>
  <c r="N58" i="1"/>
  <c r="N23" i="1"/>
  <c r="O20" i="1"/>
  <c r="P20" i="1" s="1"/>
  <c r="N12" i="1"/>
  <c r="N5" i="1"/>
  <c r="O5" i="1" s="1"/>
  <c r="P5" i="1" s="1"/>
  <c r="O24" i="1"/>
  <c r="P24" i="1" s="1"/>
  <c r="N19" i="1"/>
  <c r="O19" i="1" s="1"/>
  <c r="P19" i="1" s="1"/>
  <c r="N20" i="1"/>
  <c r="N16" i="1"/>
  <c r="O16" i="1" s="1"/>
  <c r="P16" i="1" s="1"/>
  <c r="N13" i="1"/>
  <c r="O13" i="1" s="1"/>
  <c r="P13" i="1" s="1"/>
  <c r="O14" i="1"/>
  <c r="P14" i="1" s="1"/>
  <c r="N7" i="1"/>
  <c r="O7" i="1" s="1"/>
  <c r="P7" i="1" s="1"/>
  <c r="N56" i="1"/>
  <c r="N59" i="1"/>
  <c r="L73" i="1"/>
  <c r="K73" i="1"/>
  <c r="M55" i="1"/>
  <c r="M59" i="1"/>
  <c r="M58" i="1"/>
  <c r="M27" i="1"/>
  <c r="M12" i="1"/>
  <c r="M31" i="1"/>
  <c r="M22" i="1"/>
  <c r="P38" i="1"/>
  <c r="M17" i="1"/>
  <c r="N17" i="1" s="1"/>
  <c r="M29" i="1"/>
  <c r="N29" i="1" s="1"/>
  <c r="M28" i="1"/>
  <c r="M26" i="1"/>
  <c r="M4" i="1"/>
  <c r="N4" i="1" s="1"/>
  <c r="M56" i="1"/>
  <c r="M25" i="1"/>
  <c r="M32" i="1"/>
  <c r="P18" i="1"/>
  <c r="M30" i="1"/>
  <c r="M33" i="1"/>
  <c r="M21" i="1"/>
  <c r="N21" i="1" s="1"/>
  <c r="M10" i="1"/>
  <c r="M6" i="1"/>
  <c r="M23" i="1"/>
  <c r="N22" i="1" l="1"/>
  <c r="O22" i="1" s="1"/>
  <c r="P22" i="1" s="1"/>
  <c r="N31" i="1"/>
  <c r="O31" i="1" s="1"/>
  <c r="P31" i="1" s="1"/>
  <c r="N10" i="1"/>
  <c r="O10" i="1" s="1"/>
  <c r="P10" i="1" s="1"/>
  <c r="N6" i="1"/>
  <c r="O6" i="1" s="1"/>
  <c r="P6" i="1" s="1"/>
  <c r="O56" i="1"/>
  <c r="P56" i="1" s="1"/>
  <c r="O33" i="1"/>
  <c r="P33" i="1" s="1"/>
  <c r="O12" i="1"/>
  <c r="O27" i="1"/>
  <c r="O28" i="1"/>
  <c r="P28" i="1" s="1"/>
  <c r="O17" i="1"/>
  <c r="P17" i="1" s="1"/>
  <c r="O21" i="1"/>
  <c r="P21" i="1" s="1"/>
  <c r="O30" i="1"/>
  <c r="O25" i="1"/>
  <c r="P25" i="1" s="1"/>
  <c r="N33" i="1"/>
  <c r="O4" i="1"/>
  <c r="P4" i="1" s="1"/>
  <c r="O58" i="1"/>
  <c r="O59" i="1"/>
  <c r="P59" i="1" s="1"/>
  <c r="N30" i="1"/>
  <c r="O23" i="1"/>
  <c r="P23" i="1" s="1"/>
  <c r="O29" i="1"/>
  <c r="P29" i="1" s="1"/>
  <c r="O55" i="1"/>
  <c r="N32" i="1"/>
  <c r="O32" i="1" s="1"/>
  <c r="P32" i="1" s="1"/>
  <c r="N26" i="1"/>
  <c r="O26" i="1" s="1"/>
  <c r="P26" i="1" s="1"/>
  <c r="R73" i="1"/>
  <c r="W77" i="1"/>
  <c r="P30" i="1"/>
  <c r="P27" i="1"/>
  <c r="P12" i="1"/>
  <c r="P55" i="1"/>
  <c r="P58" i="1"/>
  <c r="M73" i="1"/>
  <c r="O73" i="1" l="1"/>
  <c r="Q73" i="1" s="1"/>
  <c r="P73" i="1"/>
  <c r="N73" i="1"/>
  <c r="W73" i="1" l="1"/>
  <c r="U73" i="1"/>
  <c r="W74" i="1"/>
  <c r="W76" i="1" s="1"/>
  <c r="W75" i="1"/>
  <c r="G72" i="5"/>
  <c r="H72" i="5" s="1"/>
  <c r="G73" i="5"/>
  <c r="N64" i="5"/>
  <c r="H73" i="6" l="1"/>
  <c r="H73" i="5"/>
  <c r="D72" i="5"/>
  <c r="H72" i="6"/>
  <c r="R74" i="5"/>
  <c r="R73" i="5"/>
  <c r="N73" i="5"/>
  <c r="N72" i="5"/>
  <c r="U72" i="5"/>
  <c r="G87" i="1"/>
  <c r="G88" i="1" s="1"/>
  <c r="J88" i="1" s="1"/>
  <c r="P73" i="5" l="1"/>
  <c r="O73" i="6"/>
</calcChain>
</file>

<file path=xl/sharedStrings.xml><?xml version="1.0" encoding="utf-8"?>
<sst xmlns="http://schemas.openxmlformats.org/spreadsheetml/2006/main" count="1533" uniqueCount="444">
  <si>
    <t>Etablissements</t>
  </si>
  <si>
    <t>Subventions pour charges de service public (SCSP) notifiées en AE en 2019 au titre des programmes 150 et 231 (en euros)</t>
  </si>
  <si>
    <t>RCE (F) 2012</t>
  </si>
  <si>
    <t>AIX-MARSEILLE</t>
  </si>
  <si>
    <t>RCE 2011</t>
  </si>
  <si>
    <t>AMIENS</t>
  </si>
  <si>
    <t>RCE 2010</t>
  </si>
  <si>
    <t>ANGERS</t>
  </si>
  <si>
    <t>RCE 2013</t>
  </si>
  <si>
    <t>ANTILLES</t>
  </si>
  <si>
    <t>ARTOIS</t>
  </si>
  <si>
    <t>AVIGNON</t>
  </si>
  <si>
    <t>BESANCON</t>
  </si>
  <si>
    <t>RCE (F) 2014</t>
  </si>
  <si>
    <t>BORDEAUX</t>
  </si>
  <si>
    <t>BRETAGNE OCCIDENTALE</t>
  </si>
  <si>
    <t>BRETAGNE SUD</t>
  </si>
  <si>
    <t>CAEN</t>
  </si>
  <si>
    <t>RCE 2009</t>
  </si>
  <si>
    <t>CERGY-PONTOISE</t>
  </si>
  <si>
    <t>RCE (F) 2017</t>
  </si>
  <si>
    <t>CLERMONT AUVERGNE</t>
  </si>
  <si>
    <t>CORTE</t>
  </si>
  <si>
    <t>DIJON</t>
  </si>
  <si>
    <t>EVRY-VAL D'ESSONNE</t>
  </si>
  <si>
    <t>RCE 2016</t>
  </si>
  <si>
    <t>GRENOBLE ALPES</t>
  </si>
  <si>
    <t>RCE 2015</t>
  </si>
  <si>
    <t>GUYANE</t>
  </si>
  <si>
    <t>LA REUNION</t>
  </si>
  <si>
    <t>LA ROCHELLE</t>
  </si>
  <si>
    <t>LE HAVRE</t>
  </si>
  <si>
    <t>LE MANS</t>
  </si>
  <si>
    <t>RCE (F) 2018</t>
  </si>
  <si>
    <t>LILLE</t>
  </si>
  <si>
    <t>LIMOGES</t>
  </si>
  <si>
    <t>LITTORAL</t>
  </si>
  <si>
    <t>RCE (F) 2016</t>
  </si>
  <si>
    <t>LORRAINE</t>
  </si>
  <si>
    <t>RCE 2012</t>
  </si>
  <si>
    <t>RCE (F) 2015</t>
  </si>
  <si>
    <t>MONTPELLIER</t>
  </si>
  <si>
    <t>MULHOUSE</t>
  </si>
  <si>
    <t>NANTES</t>
  </si>
  <si>
    <t>NIMES</t>
  </si>
  <si>
    <t>NOUVELLE-CALEDONIE</t>
  </si>
  <si>
    <t>ORLEANS</t>
  </si>
  <si>
    <t>PAU</t>
  </si>
  <si>
    <t>PERPIGNAN</t>
  </si>
  <si>
    <t>POITIERS</t>
  </si>
  <si>
    <t>POLYNESIE FRANCAISE</t>
  </si>
  <si>
    <t>REIMS</t>
  </si>
  <si>
    <t>RENNES I</t>
  </si>
  <si>
    <t>RENNES II</t>
  </si>
  <si>
    <t>ROUEN</t>
  </si>
  <si>
    <t>SAINT-ETIENNE</t>
  </si>
  <si>
    <t>SORBONNE UNIVERSITE</t>
  </si>
  <si>
    <t>STRASBOURG</t>
  </si>
  <si>
    <t>TOULON</t>
  </si>
  <si>
    <t>TOURS</t>
  </si>
  <si>
    <t>VERSAILLES-SAINT-QUENTIN</t>
  </si>
  <si>
    <t>TOTAL</t>
  </si>
  <si>
    <t>Année de passage aux RCE</t>
  </si>
  <si>
    <t>Subventions pour charges de service public (SCSP) notifiées en CP en 2019 au titre des programmes 150 et 231 (en euros)</t>
  </si>
  <si>
    <t>ETPT notifiés en 2019 au titre des programmes 150 et 231</t>
  </si>
  <si>
    <t>CENTRALE SUPELEC</t>
  </si>
  <si>
    <t>EC LILLE</t>
  </si>
  <si>
    <t>EC LYON</t>
  </si>
  <si>
    <t>RCE 2014</t>
  </si>
  <si>
    <t>EC MARSEILLE</t>
  </si>
  <si>
    <t>EC NANTES</t>
  </si>
  <si>
    <t>ENI TARBES</t>
  </si>
  <si>
    <t>ENSAM</t>
  </si>
  <si>
    <t>ENSC MONTPELLIER</t>
  </si>
  <si>
    <t>ENSC PARIS</t>
  </si>
  <si>
    <t>ENSC RENNES</t>
  </si>
  <si>
    <t>ENSI CAEN</t>
  </si>
  <si>
    <t>ENSIIE</t>
  </si>
  <si>
    <t>INP GRENOBLE</t>
  </si>
  <si>
    <t>INP TOULOUSE</t>
  </si>
  <si>
    <t>INSA CENTRE VAL DE LOIRE</t>
  </si>
  <si>
    <t>INSA DE RENNES</t>
  </si>
  <si>
    <t>INSA DE ROUEN</t>
  </si>
  <si>
    <t>INSA DE STRASBOURG</t>
  </si>
  <si>
    <t>INSA DE TOULOUSE</t>
  </si>
  <si>
    <t>ISAE-ENSMA POITIERS</t>
  </si>
  <si>
    <t>UT BELFORT-MONTBELIARD</t>
  </si>
  <si>
    <t>UT COMPIEGNE</t>
  </si>
  <si>
    <t>UT TROYES</t>
  </si>
  <si>
    <t>Total</t>
  </si>
  <si>
    <t>CNAM</t>
  </si>
  <si>
    <t>COLLEGE DE FRANCE</t>
  </si>
  <si>
    <t>EHESS PARIS</t>
  </si>
  <si>
    <t>ENS LYON</t>
  </si>
  <si>
    <t>ENS RENNES</t>
  </si>
  <si>
    <t>EPHE</t>
  </si>
  <si>
    <t>RCE 2019</t>
  </si>
  <si>
    <t>OBSERVATOIRE DE PARIS</t>
  </si>
  <si>
    <t>Emplois rémunérés par l'opérateur :</t>
  </si>
  <si>
    <t>12 544</t>
  </si>
  <si>
    <t>13 335</t>
  </si>
  <si>
    <t>12 916</t>
  </si>
  <si>
    <t>  – sous plafond</t>
  </si>
  <si>
    <t>9 777</t>
  </si>
  <si>
    <t>10 585</t>
  </si>
  <si>
    <t>9 972</t>
  </si>
  <si>
    <t>  – hors plafond</t>
  </si>
  <si>
    <t>2 767</t>
  </si>
  <si>
    <t>2 750</t>
  </si>
  <si>
    <t>2 944</t>
  </si>
  <si>
    <t>        dont contrats aidés</t>
  </si>
  <si>
    <t>        dont apprentis</t>
  </si>
  <si>
    <t>Autres emplois en fonction dans l'opérateur :</t>
  </si>
  <si>
    <t>3 302</t>
  </si>
  <si>
    <t>2 938</t>
  </si>
  <si>
    <t>  – rémunérés par l'État par ce programme</t>
  </si>
  <si>
    <t>  – rémunérés par l'État par d'autres programmes</t>
  </si>
  <si>
    <t>  – rémunérés par d'autres collectivités ou organismes</t>
  </si>
  <si>
    <t>Réalisation 2018</t>
  </si>
  <si>
    <t>Prévision 2019</t>
  </si>
  <si>
    <t>Réalisation 2019</t>
  </si>
  <si>
    <t> CONSOLIDATION DES EMPLOIS</t>
  </si>
  <si>
    <t>10 559</t>
  </si>
  <si>
    <t>11 413</t>
  </si>
  <si>
    <t>10 598</t>
  </si>
  <si>
    <t>7 861</t>
  </si>
  <si>
    <t>8 733</t>
  </si>
  <si>
    <t>7 889</t>
  </si>
  <si>
    <t>2 698</t>
  </si>
  <si>
    <t>2 680</t>
  </si>
  <si>
    <t>2 709</t>
  </si>
  <si>
    <t>1 926</t>
  </si>
  <si>
    <t>2 149</t>
  </si>
  <si>
    <t>CONSOLIDATION DES EMPLOIS</t>
  </si>
  <si>
    <t>155 070</t>
  </si>
  <si>
    <t>164 559</t>
  </si>
  <si>
    <t>155 863</t>
  </si>
  <si>
    <t>134 679</t>
  </si>
  <si>
    <t>144 306</t>
  </si>
  <si>
    <t>135 037</t>
  </si>
  <si>
    <t>20 391</t>
  </si>
  <si>
    <t>20 253</t>
  </si>
  <si>
    <t>20 826</t>
  </si>
  <si>
    <t>RCE 2017</t>
  </si>
  <si>
    <t>COMUE Lille Nord de France</t>
  </si>
  <si>
    <t>COMUE Lyon</t>
  </si>
  <si>
    <t>COMUE Toulouse</t>
  </si>
  <si>
    <t>RCE 2018</t>
  </si>
  <si>
    <t>COMUE Université Côte d'Azur</t>
  </si>
  <si>
    <t>COMUE</t>
  </si>
  <si>
    <t>2 178</t>
  </si>
  <si>
    <t>2 120</t>
  </si>
  <si>
    <t>2 318</t>
  </si>
  <si>
    <t>1 417</t>
  </si>
  <si>
    <t>1 167</t>
  </si>
  <si>
    <t>1 440</t>
  </si>
  <si>
    <t>étudiants inscrits 2018-2019 hors doubles inscriptions CPGE</t>
  </si>
  <si>
    <t>Université Côte d'Azur</t>
  </si>
  <si>
    <t>Université Bourgogne Franche-Conté</t>
  </si>
  <si>
    <t>Université PSL</t>
  </si>
  <si>
    <t>LYON III Jean Moulin</t>
  </si>
  <si>
    <t>LYON I Claude Bernard</t>
  </si>
  <si>
    <t>LYON II Louis Lumière</t>
  </si>
  <si>
    <t>PARIS II Panthéon-Assas</t>
  </si>
  <si>
    <t>PARIS I panthéon-Sorbonne</t>
  </si>
  <si>
    <t>PARIS V Descartes</t>
  </si>
  <si>
    <t>PARIS VII Diderot</t>
  </si>
  <si>
    <t>PARIS VIII Vincennes- Saint Denis</t>
  </si>
  <si>
    <t>PARIS X Nanterre</t>
  </si>
  <si>
    <t>PARIS XII Paris-Est Créteil</t>
  </si>
  <si>
    <t>PARIS XI Paris Sud + Saclay</t>
  </si>
  <si>
    <t>MONTPELLIER III Paul valéry</t>
  </si>
  <si>
    <t>PARIS III Sorbonne Nouvelle</t>
  </si>
  <si>
    <t>CHAMBERY Savoie Mont-Blanc</t>
  </si>
  <si>
    <t>PARIS XIII Sorbonne Paris-Nord</t>
  </si>
  <si>
    <t>TOULOUSE I Capitol</t>
  </si>
  <si>
    <t>TOULOUSE II Jean Jaures</t>
  </si>
  <si>
    <t>TOULOUSE III Paul sabatier</t>
  </si>
  <si>
    <t>VALENCIENNES Polytechnique des Hauts-de-France</t>
  </si>
  <si>
    <t>SCSP/étudiant</t>
  </si>
  <si>
    <t>ETPT/100 étudiants</t>
  </si>
  <si>
    <t>EHESP</t>
  </si>
  <si>
    <t>ENIB</t>
  </si>
  <si>
    <t>ENISE</t>
  </si>
  <si>
    <t>EN des Chartes</t>
  </si>
  <si>
    <t>ENSC Lille</t>
  </si>
  <si>
    <t>ENSEA Cergy</t>
  </si>
  <si>
    <t>ENSMM</t>
  </si>
  <si>
    <t>ENSSIB</t>
  </si>
  <si>
    <t>ENS CACHAN PARIS-SACLAY</t>
  </si>
  <si>
    <t>INaLCO</t>
  </si>
  <si>
    <t>INSA Lyon</t>
  </si>
  <si>
    <t>INU François Champolion</t>
  </si>
  <si>
    <t>MNHN</t>
  </si>
  <si>
    <t>centre Universitaire de Mayotte</t>
  </si>
  <si>
    <t xml:space="preserve">étudiants inscrits 2018-2019 </t>
  </si>
  <si>
    <t>MOYENNE NATIONALE</t>
  </si>
  <si>
    <t>UPavS</t>
  </si>
  <si>
    <t>USTS</t>
  </si>
  <si>
    <t>BORDEAUX III montaigne</t>
  </si>
  <si>
    <t>UPhs</t>
  </si>
  <si>
    <t xml:space="preserve">GRANDES ECOLES </t>
  </si>
  <si>
    <t>report</t>
  </si>
  <si>
    <t>OPÉRATEURS MIRES</t>
  </si>
  <si>
    <t>AUTRES GE</t>
  </si>
  <si>
    <t>ÉCOLE D'INGÉNIEURS</t>
  </si>
  <si>
    <t>AUTRES OPÉRATEURS D'ESR</t>
  </si>
  <si>
    <t>MOYENNE  des UPavS</t>
  </si>
  <si>
    <t>MOYENNE  des UPhs</t>
  </si>
  <si>
    <t>MOYENNE  des USTS</t>
  </si>
  <si>
    <t>masse salariale manquante</t>
  </si>
  <si>
    <t>UTALLSHS</t>
  </si>
  <si>
    <t>UTDEG</t>
  </si>
  <si>
    <t>type d'université : UPavS, UPhs, USTS, UTALLSHS, UTDEG</t>
  </si>
  <si>
    <t>MOYENNE  des UTALLSHS et UTDEG</t>
  </si>
  <si>
    <t>ECART DE SCSP CORIGÉE PAR LA VARIABLE DÉMOGRAPHIQUE / MOYENNE DE SON TYPE D'UNIVERSITÉ</t>
  </si>
  <si>
    <t>VARIATION DES ETPT CORIGÉE PAR LA VARIABLE DÉMOGRAPHIQUE / MOYENNE DE SON TYPE D'UNIVERSITÉ</t>
  </si>
  <si>
    <t>NOUVEAU TAUX D'ENCADREMENT ETPT/100 ÉTUDIANTS AVEC UNE DEMOGRAPHIE DE 45000 ÉTUDIANTS EN PLUS</t>
  </si>
  <si>
    <t>AUGMENTATION NÉCESSAIRE :</t>
  </si>
  <si>
    <t>Ss TOTAL</t>
  </si>
  <si>
    <t xml:space="preserve">sources 2 : </t>
  </si>
  <si>
    <t xml:space="preserve">sources 1 : </t>
  </si>
  <si>
    <t>MIRES, rapport annuel de performances 2019, annexe au projet de loi de règlement du budget et d’approbation des comptes pour 2019</t>
  </si>
  <si>
    <t>dataESR</t>
  </si>
  <si>
    <t>(effectifs étudiants 2018-2019)</t>
  </si>
  <si>
    <t>(SCSP et effectifs ETPT)</t>
  </si>
  <si>
    <t>https://www.performance-publique.budget.gouv.fr/sites/performance_publique/files/farandole/ressources/2019/rap/pdf/RAP2019_BG_Recherche_enseignement_superieur.pdf</t>
  </si>
  <si>
    <t>https://data.enseignementsup-recherche.gouv.fr/api/v1/console/datasets/1.0/search/</t>
  </si>
  <si>
    <t xml:space="preserve">dont </t>
  </si>
  <si>
    <t>pour la convergence</t>
  </si>
  <si>
    <t xml:space="preserve">avec un emploi moyen valorisé à : </t>
  </si>
  <si>
    <t>masse salariale supplémentaire à la SCSP corrigée par la variable démographique</t>
  </si>
  <si>
    <t>BESOINS DE MOYENS ET D'EMPLOIS POUR PERMETTRE A CHACUN DES ÉTABLISSEMENTS D'ATTEINDRE LA MOYENNE 2019 DES DOTATIONS DE SON TYPE D'UNIVERSITE</t>
  </si>
  <si>
    <t>TOTAL COMUE</t>
  </si>
  <si>
    <r>
      <rPr>
        <sz val="10"/>
        <color theme="0" tint="-0.499984740745262"/>
        <rFont val="Calibri (Corps)"/>
      </rPr>
      <t>étud. Sup. en 2020 :</t>
    </r>
    <r>
      <rPr>
        <sz val="12"/>
        <color theme="1"/>
        <rFont val="Calibri"/>
        <family val="2"/>
        <scheme val="minor"/>
      </rPr>
      <t xml:space="preserve"> </t>
    </r>
  </si>
  <si>
    <t>NOUVELLE SCSP/ ÉTUDIANT AVEC UNE DEMOGRAPHIE DE 45000 ÉTUDIANTS EN PLUS</t>
  </si>
  <si>
    <t>Emplois à temps plein travaillés (ETPT) notifiés en 2019 au titres des programmes 150 et 231</t>
  </si>
  <si>
    <t>dus à la démographie</t>
  </si>
  <si>
    <t>non RCE</t>
  </si>
  <si>
    <t>opérateurs RCE</t>
  </si>
  <si>
    <t>: effectif moyen d'une université</t>
  </si>
  <si>
    <t xml:space="preserve">dotation moyenne d'une université : </t>
  </si>
  <si>
    <t>académie</t>
  </si>
  <si>
    <t>LYON</t>
  </si>
  <si>
    <t>GUADELOUPE</t>
  </si>
  <si>
    <t>BESANÇON</t>
  </si>
  <si>
    <t>RENNES</t>
  </si>
  <si>
    <t>VERSAILLES</t>
  </si>
  <si>
    <t>GRENOBLE</t>
  </si>
  <si>
    <t>CLERMONT-FERRAND</t>
  </si>
  <si>
    <t>CORSE</t>
  </si>
  <si>
    <t>NANCY-METZ</t>
  </si>
  <si>
    <t>CRETEIL</t>
  </si>
  <si>
    <t>NICE</t>
  </si>
  <si>
    <t>ORLEANS-TOURS</t>
  </si>
  <si>
    <t>PARIS</t>
  </si>
  <si>
    <t>POLYNESIE FRANÇAISE</t>
  </si>
  <si>
    <t>TOULOUSE</t>
  </si>
  <si>
    <t>NON RCE</t>
  </si>
  <si>
    <t>COMUE BOURGOGNE-FRANCHE-CONTÉ</t>
  </si>
  <si>
    <t>SCSP notifiées en CP votées par le CNESER en 2019 pour 2020</t>
  </si>
  <si>
    <t>COMUE AQUITAINE</t>
  </si>
  <si>
    <t>IEP Borbeaux</t>
  </si>
  <si>
    <t>INP BORDEAUX</t>
  </si>
  <si>
    <t>SCSP VOTÉE AU CNESER notifiées en CP POUR 2020 au titre des programmes 150 et 231 (en euros)</t>
  </si>
  <si>
    <t>COMUE NORMANDIE UNIVERSITÉ</t>
  </si>
  <si>
    <t>COMUE PARIS-EST</t>
  </si>
  <si>
    <t>ENS LOUIS LUMIERE CRETEIL</t>
  </si>
  <si>
    <t>GIP ADUDA GRENOBLE</t>
  </si>
  <si>
    <t>IEP GRENOBLE</t>
  </si>
  <si>
    <t>ENSAIT ROUBAIX</t>
  </si>
  <si>
    <t>IEP LILLE</t>
  </si>
  <si>
    <t>IEP LYON</t>
  </si>
  <si>
    <t>ENSATT LYON</t>
  </si>
  <si>
    <t>CUFR MAYOTTE</t>
  </si>
  <si>
    <t>COMUE LANGUEDOC-ROUSSILLON</t>
  </si>
  <si>
    <t>OBERVATOIRE DE LA COTE D'AZUR</t>
  </si>
  <si>
    <t>IAE PARIS</t>
  </si>
  <si>
    <t>IPG PARIS</t>
  </si>
  <si>
    <t>ENS PARIS</t>
  </si>
  <si>
    <t>COMUE HESAM</t>
  </si>
  <si>
    <t>COMUE SORBONNE PARIS CITÉ</t>
  </si>
  <si>
    <t>COMUE PARIS LUMIERES</t>
  </si>
  <si>
    <t>COMUE PSL</t>
  </si>
  <si>
    <t>RCE2020</t>
  </si>
  <si>
    <t>CAMPUS CONDORCET</t>
  </si>
  <si>
    <t>COMUE LEONARD DE VINCI</t>
  </si>
  <si>
    <t>IEP RENNES</t>
  </si>
  <si>
    <t>COMUE BRETAGNE LOIRE</t>
  </si>
  <si>
    <t>BNU STRASBOURG</t>
  </si>
  <si>
    <t>IEP TOULOUSE</t>
  </si>
  <si>
    <t>INS HEA</t>
  </si>
  <si>
    <t>coût moyen d'un ETPT en 2020</t>
  </si>
  <si>
    <t>ratio masse salariale/SCSP</t>
  </si>
  <si>
    <t>progression 2020/2019 de la SCSP</t>
  </si>
  <si>
    <t>pour +35000 etu</t>
  </si>
  <si>
    <t xml:space="preserve">soit </t>
  </si>
  <si>
    <t>par étudiant</t>
  </si>
  <si>
    <t>min</t>
  </si>
  <si>
    <t>max</t>
  </si>
  <si>
    <t>coût moyen d'un emploi</t>
  </si>
  <si>
    <t>masse salariale affectée par le vote du CNESER du 12/12/2018 (150 et 231 (en euros)</t>
  </si>
  <si>
    <t>ACADÉMIE</t>
  </si>
  <si>
    <t>VERSAILLE</t>
  </si>
  <si>
    <t>AIX MARSEILLE</t>
  </si>
  <si>
    <t>NOUVELLES-CALEDONIE</t>
  </si>
  <si>
    <t>LIMOGE</t>
  </si>
  <si>
    <t>coût moyen de l'emploi d'un agent titulaire</t>
  </si>
  <si>
    <t>IEP AIX-MARSEILLE</t>
  </si>
  <si>
    <t>masse salariale 2020 affectée par le vote du CNESER du 19/11/2019 (150 et 231 (en euros)</t>
  </si>
  <si>
    <t>évolution possible des emplois en fonction de l'augmentation de la MS ramenée au coût moyen d'un emploi</t>
  </si>
  <si>
    <t>progression de la SCSP entre 2021 et 2020</t>
  </si>
  <si>
    <t>SCSP VOTÉE AU CNESER notifiées en CP POUR 2021 au titre des programmes 150 et 231 (en euros)</t>
  </si>
  <si>
    <t>progression 2021/2020de la SCSP</t>
  </si>
  <si>
    <t>progression 2021/2020 de la Masse Salariale</t>
  </si>
  <si>
    <t>emplois</t>
  </si>
  <si>
    <t>∆MS hors ∆S</t>
  </si>
  <si>
    <t>39 ans</t>
  </si>
  <si>
    <t>∆masse  salariale 2021/2020</t>
  </si>
  <si>
    <t>places supplémentaires via le plan de relance</t>
  </si>
  <si>
    <t>masse salariale 2021 affectée par le vote du CNESER du 24/11/2020 (150 et 231) en euros</t>
  </si>
  <si>
    <t>masse salariale 2020 affectée par le vote du CNESER du 19/11/2019 (150 et 231) en euros</t>
  </si>
  <si>
    <t>masse salariale affectée 2019 par le vote du CNESER du 12/12/2018 (150 et 231) en euros</t>
  </si>
  <si>
    <t>INSA Haut de France</t>
  </si>
  <si>
    <t>Chancellerie de Paris</t>
  </si>
  <si>
    <t>CTLES</t>
  </si>
  <si>
    <t>places suppl</t>
  </si>
  <si>
    <t>80k€</t>
  </si>
  <si>
    <t>1,3M€</t>
  </si>
  <si>
    <t>https://cache.media.enseignementsup-recherche.gouv.fr/file/2020/46/5/NI_2020_19_effectif_universite_1364465.pdf</t>
  </si>
  <si>
    <t>SCSP notifiées en CP votées par le CNESER en 2020 pour 2021</t>
  </si>
  <si>
    <t>Grand établissement</t>
  </si>
  <si>
    <t>PARIS DAUPHINE UPSL</t>
  </si>
  <si>
    <t>étudiants inscrits 2019-2020</t>
  </si>
  <si>
    <t>MARNE-LA-VALLEE Gustave Eiffel</t>
  </si>
  <si>
    <t>ETPT estimés compte tenu de l'évolution de SCSP /100 étudiants</t>
  </si>
  <si>
    <t>évolution possible des ETPT compte tenu de l'évolution de la masse salariale</t>
  </si>
  <si>
    <t>étudiants inscrits 2020-2021</t>
  </si>
  <si>
    <t>MIN</t>
  </si>
  <si>
    <t>MAX</t>
  </si>
  <si>
    <t>progression nb d'étudiants rentrée 2019/2018</t>
  </si>
  <si>
    <t>taux d'encadrement agents/100 étudiants</t>
  </si>
  <si>
    <t>MIN  des UTALLSHS et UTDEG</t>
  </si>
  <si>
    <t>MIN  des UPavS</t>
  </si>
  <si>
    <t>MIN  des UPhs</t>
  </si>
  <si>
    <t>MIN  des USTS</t>
  </si>
  <si>
    <t>MAX des UTALLSHS et UTDEG</t>
  </si>
  <si>
    <t>MAX  des UPavS</t>
  </si>
  <si>
    <t>MAX  des UPhs</t>
  </si>
  <si>
    <t>MAX  des USTS</t>
  </si>
  <si>
    <t>Nîmes</t>
  </si>
  <si>
    <t>Angers</t>
  </si>
  <si>
    <t>Toulouse3 Paul Sabatier</t>
  </si>
  <si>
    <t>Paris3 Sorbonne nouvelle</t>
  </si>
  <si>
    <t>Lyon1 Claude Bernard</t>
  </si>
  <si>
    <t>Corte Pascal Paoli</t>
  </si>
  <si>
    <t>Sorbonne Université</t>
  </si>
  <si>
    <t>Evry Val d'Essonne</t>
  </si>
  <si>
    <t>Paris5 Diderot puis Sorbonne Université</t>
  </si>
  <si>
    <t>Corte Pascal Paoli* puis Evry Val d'Essonne</t>
  </si>
  <si>
    <t>ECARTS UPavS</t>
  </si>
  <si>
    <t>ECARTS UTALLSHS</t>
  </si>
  <si>
    <t>ECARTS  des UPhs</t>
  </si>
  <si>
    <t>ECARTS  des USTS</t>
  </si>
  <si>
    <t>nombre de poste manquants/moyenne du type de l'université</t>
  </si>
  <si>
    <t>dont pour le fonctionnament et l'investissement</t>
  </si>
  <si>
    <t>écart de la SCSP par rapport à la moyenne de dotation du type d'université</t>
  </si>
  <si>
    <t>document CNESER budgétaire novembre 2020</t>
  </si>
  <si>
    <t>(effectifs étudiants 2019-2021)</t>
  </si>
  <si>
    <t>Emplois à temps plein travaillés (ETPT) notifiés en 2020 au titres des programmes 150 et 231</t>
  </si>
  <si>
    <t>progression des emplois notifiés</t>
  </si>
  <si>
    <t>NICE COTE D'AZUR</t>
  </si>
  <si>
    <t>pour les effectifs étudiants</t>
  </si>
  <si>
    <t>pour les ETPT notifiés</t>
  </si>
  <si>
    <t>https://www.budget.gouv.fr/documentation/documents-budgetaires/exercice-2020/projet-de-loi-de-reglement/budget-general?docuement_dossier%5B0%5D=mission_nomenclature%3A14883</t>
  </si>
  <si>
    <t>ETPT notifiés en 2020 au titre des programmes 150 et 231</t>
  </si>
  <si>
    <t>progression nb d'étudiants rentrée 2021/2020</t>
  </si>
  <si>
    <t>progression 2020/2019 de la MS</t>
  </si>
  <si>
    <t>dont pour la masse salariale des emplois manquants</t>
  </si>
  <si>
    <t>Emplois à temps plein travaillés (ETPT) notifiés en 2021 au titres des programmes 150 et 231</t>
  </si>
  <si>
    <t xml:space="preserve">* : L'Université de Polynésie Française est la mieux dotée mais les salaires y sont revalorisés et son taux d'ancadrement de 7,8 n'est pas parmi les plus élevés </t>
  </si>
  <si>
    <t>SOMME ou MOYENNE NATIONALE</t>
  </si>
  <si>
    <t>SOMME ou MOYENNE  des UTALLSHS et UTDEG</t>
  </si>
  <si>
    <t>SOMME ou MOYENNE  des UPavS</t>
  </si>
  <si>
    <t>SOMME ou MOYENNE  des UPhs</t>
  </si>
  <si>
    <t>SOMME ou MOYENNE  des USTS</t>
  </si>
  <si>
    <t>NOUVELLE SCSP/ÉTUDIANT</t>
  </si>
  <si>
    <t xml:space="preserve">NOUVELLE SCSP/ÉTUDIANT AUGMENTÉE DE LA PROGRESSION DÉMOGRAPHIQUE ÉTUDIANTE </t>
  </si>
  <si>
    <t>inflation de l'année 2019</t>
  </si>
  <si>
    <t>inflation de l'année 2020</t>
  </si>
  <si>
    <t>Lyon3 Jean Moulin</t>
  </si>
  <si>
    <t>SOMME &amp; MOYENNE</t>
  </si>
  <si>
    <t>type d'établissements</t>
  </si>
  <si>
    <t>établissements non RCE</t>
  </si>
  <si>
    <t>masse salariale 2019 affectée  par le vote du CNESER du 12/12/2018 (150 et 231) en euros</t>
  </si>
  <si>
    <t>masse salariale 2022 affectée par le vote du CNESER du 15/11/2021 (150 et 231) en euros</t>
  </si>
  <si>
    <t>progression de la MS entre 2022 et 2021</t>
  </si>
  <si>
    <t>SCSP notifiées en CP votées par le CNESER en 2021pour 2022</t>
  </si>
  <si>
    <t>progression de la SCSP entre 2021 et 2022</t>
  </si>
  <si>
    <t>ETPT notifiés en 2021 au titre des programmes 150 et 2312</t>
  </si>
  <si>
    <t>ETPT notifiés en 2022  au titre des programmes 150 et 2313</t>
  </si>
  <si>
    <t>étudiants inscrits 2021-2022</t>
  </si>
  <si>
    <t>SCSP/étudiant en 2021</t>
  </si>
  <si>
    <t>ETPT/100 étudiants en 2020</t>
  </si>
  <si>
    <t>Colonne1</t>
  </si>
  <si>
    <t>Colonne2</t>
  </si>
  <si>
    <t>Colonne3</t>
  </si>
  <si>
    <t>INP CLERMONT (Sigma)</t>
  </si>
  <si>
    <t>2022/2021</t>
  </si>
  <si>
    <t>masse salariale 2022 affectée par le vote du CNESER du15/11/2021 (150 et 231) en euros</t>
  </si>
  <si>
    <t>progression de la MS entre 2022/2021</t>
  </si>
  <si>
    <t>SCSP notifiées en CP votées par le CNESER en 2021 pour 2022</t>
  </si>
  <si>
    <t>ETPT notifiés en 2021 au titre des programmes 150 et 231</t>
  </si>
  <si>
    <t>ETPT notifiés en 2022 au titre des programmes 150 et 2312</t>
  </si>
  <si>
    <t>tutelle MESRI</t>
  </si>
  <si>
    <t>ABES</t>
  </si>
  <si>
    <t>AGROSUP DIJON</t>
  </si>
  <si>
    <t>ASCOM</t>
  </si>
  <si>
    <t>CAMPUS France</t>
  </si>
  <si>
    <t>CINES</t>
  </si>
  <si>
    <t>CNRS délégation Villejuif</t>
  </si>
  <si>
    <t>CNRS PARIS</t>
  </si>
  <si>
    <t>académie de Créteil</t>
  </si>
  <si>
    <t>École française casa Velazquez</t>
  </si>
  <si>
    <t>École française d'Athènes</t>
  </si>
  <si>
    <t>École française d'Extrême Orient</t>
  </si>
  <si>
    <t>École française de Rome</t>
  </si>
  <si>
    <t>RCE 2022</t>
  </si>
  <si>
    <t>école d'ingénieurs</t>
  </si>
  <si>
    <t>EPAURIF</t>
  </si>
  <si>
    <t>EPMQB</t>
  </si>
  <si>
    <t>FMSH</t>
  </si>
  <si>
    <t>FNSP</t>
  </si>
  <si>
    <t>France Université Numérique</t>
  </si>
  <si>
    <t>GIP AMUE</t>
  </si>
  <si>
    <t>GIP BULAC</t>
  </si>
  <si>
    <t>GIP ERASMUS</t>
  </si>
  <si>
    <t>GIP RENATER</t>
  </si>
  <si>
    <t>IFAO du Caire</t>
  </si>
  <si>
    <t>INHA</t>
  </si>
  <si>
    <t>académie de Versaille</t>
  </si>
  <si>
    <t>IOTA (graduate school)</t>
  </si>
  <si>
    <t>ISAE SUPMECA CRETEIL</t>
  </si>
  <si>
    <t>Science Po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</si>
</sst>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6" formatCode="#,##0\ &quot;€&quot;_);[Red]\(#,##0\ &quot;€&quot;\)"/>
    <numFmt numFmtId="44" formatCode="_ * #,##0.00_)\ &quot;€&quot;_ ;_ * \(#,##0.00\)\ &quot;€&quot;_ ;_ * &quot;-&quot;??_)\ &quot;€&quot;_ ;_ @_ "/>
    <numFmt numFmtId="43" formatCode="_ * #,##0.00_)_ ;_ * \(#,##0.00\)_ ;_ * &quot;-&quot;??_)_ ;_ @_ "/>
    <numFmt numFmtId="164" formatCode="0.0"/>
    <numFmt numFmtId="165" formatCode="_-* #,##0\ [$€-40C]_-;\-* #,##0\ [$€-40C]_-;_-* &quot;-&quot;??\ [$€-40C]_-;_-@_-"/>
    <numFmt numFmtId="166" formatCode="_-* #,##0.00\ [$€-40C]_-;\-* #,##0.00\ [$€-40C]_-;_-* &quot;-&quot;??\ [$€-40C]_-;_-@_-"/>
    <numFmt numFmtId="167" formatCode="_ * #,##0.0_)\ _€_ ;_ * \(#,##0.0\)\ _€_ ;_ * &quot;-&quot;??_)\ _€_ ;_ @_ "/>
    <numFmt numFmtId="168" formatCode="_ * #,##0_)_ ;_ * \(#,##0\)_ ;_ * &quot;-&quot;??_)_ ;_ @_ "/>
    <numFmt numFmtId="169" formatCode="_ * #,##0.0_)_ ;_ * \(#,##0.0\)_ ;_ * &quot;-&quot;??_)_ ;_ @_ "/>
    <numFmt numFmtId="170" formatCode="0.0%"/>
    <numFmt numFmtId="171" formatCode="_ * #,##0_)\ &quot;€&quot;_ ;_ * \(#,##0\)\ &quot;€&quot;_ ;_ * &quot;-&quot;??_)\ &quot;€&quot;_ ;_ @_ "/>
    <numFmt numFmtId="172" formatCode="#,##0\ &quot;€&quot;"/>
  </numFmts>
  <fonts count="70">
    <font>
      <sz val="12"/>
      <color theme="1"/>
      <name val="Calibri"/>
      <family val="2"/>
      <scheme val="minor"/>
    </font>
    <font>
      <sz val="7"/>
      <color theme="1"/>
      <name val="-webkit-standard"/>
    </font>
    <font>
      <b/>
      <sz val="7"/>
      <color theme="1"/>
      <name val="-webkit-standard"/>
    </font>
    <font>
      <sz val="9"/>
      <color rgb="FF3C568B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i/>
      <sz val="7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color rgb="FF0070C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0"/>
      <color rgb="FF00B050"/>
      <name val="Calibri"/>
      <family val="2"/>
      <scheme val="minor"/>
    </font>
    <font>
      <b/>
      <sz val="10"/>
      <color theme="4"/>
      <name val="Calibri"/>
      <family val="2"/>
      <scheme val="minor"/>
    </font>
    <font>
      <b/>
      <sz val="11"/>
      <color theme="4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0"/>
      <color rgb="FF0070C0"/>
      <name val="Calibri (Corps)"/>
    </font>
    <font>
      <b/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0"/>
      <color theme="1" tint="0.499984740745262"/>
      <name val="Calibri"/>
      <family val="2"/>
      <scheme val="minor"/>
    </font>
    <font>
      <b/>
      <i/>
      <sz val="8"/>
      <color theme="1" tint="0.499984740745262"/>
      <name val="Calibri"/>
      <family val="2"/>
      <scheme val="minor"/>
    </font>
    <font>
      <b/>
      <i/>
      <sz val="10"/>
      <color theme="1" tint="0.499984740745262"/>
      <name val="Calibri"/>
      <family val="2"/>
      <scheme val="minor"/>
    </font>
    <font>
      <b/>
      <i/>
      <sz val="10"/>
      <color theme="1" tint="0.499984740745262"/>
      <name val="Calibri (Corps)"/>
    </font>
    <font>
      <b/>
      <i/>
      <sz val="7"/>
      <color theme="1" tint="0.499984740745262"/>
      <name val="-webkit-standard"/>
    </font>
    <font>
      <b/>
      <i/>
      <sz val="10"/>
      <color theme="4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i/>
      <sz val="12"/>
      <color theme="1" tint="0.499984740745262"/>
      <name val="Calibri"/>
      <family val="2"/>
      <scheme val="minor"/>
    </font>
    <font>
      <sz val="12"/>
      <color rgb="FF000000"/>
      <name val="Helvetica"/>
      <family val="2"/>
    </font>
    <font>
      <u/>
      <sz val="12"/>
      <color theme="10"/>
      <name val="Calibri"/>
      <family val="2"/>
      <scheme val="minor"/>
    </font>
    <font>
      <sz val="11"/>
      <color theme="1"/>
      <name val="Calibri (Corps)"/>
    </font>
    <font>
      <b/>
      <sz val="11"/>
      <color rgb="FFFF0000"/>
      <name val="Calibri"/>
      <family val="2"/>
      <scheme val="minor"/>
    </font>
    <font>
      <sz val="10"/>
      <color theme="0" tint="-0.499984740745262"/>
      <name val="Calibri (Corps)"/>
    </font>
    <font>
      <sz val="10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b/>
      <i/>
      <sz val="10"/>
      <color theme="9" tint="-0.249977111117893"/>
      <name val="Calibri"/>
      <family val="2"/>
      <scheme val="minor"/>
    </font>
    <font>
      <i/>
      <sz val="10"/>
      <color theme="9" tint="-0.249977111117893"/>
      <name val="Calibri"/>
      <family val="2"/>
      <scheme val="minor"/>
    </font>
    <font>
      <sz val="12"/>
      <color theme="1"/>
      <name val="Arial Narrow"/>
      <family val="2"/>
    </font>
    <font>
      <b/>
      <sz val="7"/>
      <color theme="1"/>
      <name val="Arial Narrow"/>
      <family val="2"/>
    </font>
    <font>
      <sz val="9"/>
      <color rgb="FF3C568B"/>
      <name val="Arial Narrow"/>
      <family val="2"/>
    </font>
    <font>
      <sz val="8"/>
      <color theme="1"/>
      <name val="Arial Narrow"/>
      <family val="2"/>
    </font>
    <font>
      <sz val="7"/>
      <color theme="1"/>
      <name val="Arial Narrow"/>
      <family val="2"/>
    </font>
    <font>
      <b/>
      <sz val="10"/>
      <color rgb="FF0070C0"/>
      <name val="Arial Narrow"/>
      <family val="2"/>
    </font>
    <font>
      <b/>
      <sz val="10"/>
      <color rgb="FFFF0000"/>
      <name val="Arial Narrow"/>
      <family val="2"/>
    </font>
    <font>
      <b/>
      <sz val="10"/>
      <color rgb="FF00B050"/>
      <name val="Arial Narrow"/>
      <family val="2"/>
    </font>
    <font>
      <i/>
      <sz val="7"/>
      <color theme="1"/>
      <name val="Arial Narrow"/>
      <family val="2"/>
    </font>
    <font>
      <b/>
      <sz val="12"/>
      <color theme="1"/>
      <name val="Arial Narrow"/>
      <family val="2"/>
    </font>
    <font>
      <sz val="12"/>
      <color rgb="FFFF0000"/>
      <name val="Arial Narrow"/>
      <family val="2"/>
    </font>
    <font>
      <sz val="9"/>
      <color theme="1"/>
      <name val="Arial Narrow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sz val="8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color theme="1"/>
      <name val="-webkit-standard"/>
    </font>
    <font>
      <sz val="12"/>
      <color rgb="FF000000"/>
      <name val="-webkit-standard"/>
    </font>
    <font>
      <sz val="8"/>
      <color rgb="FFFF0000"/>
      <name val="Calibri"/>
      <family val="2"/>
      <scheme val="minor"/>
    </font>
    <font>
      <b/>
      <i/>
      <sz val="7"/>
      <color rgb="FFFFFF00"/>
      <name val="-webkit-standard"/>
    </font>
    <font>
      <sz val="9"/>
      <color rgb="FF000000"/>
      <name val="Calibri"/>
      <family val="2"/>
      <scheme val="minor"/>
    </font>
    <font>
      <b/>
      <sz val="9"/>
      <color theme="4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sz val="8"/>
      <color theme="1"/>
      <name val="Arial Narrow"/>
      <family val="2"/>
    </font>
    <font>
      <sz val="10"/>
      <color rgb="FF3C568B"/>
      <name val="Arial Narrow"/>
      <family val="2"/>
    </font>
    <font>
      <b/>
      <sz val="12"/>
      <color rgb="FF0070C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9"/>
      <color theme="0"/>
      <name val="Arial Narrow"/>
      <family val="2"/>
    </font>
    <font>
      <sz val="10"/>
      <color theme="0"/>
      <name val="Arial Narrow"/>
      <family val="2"/>
    </font>
    <font>
      <sz val="9"/>
      <color rgb="FFFF0000"/>
      <name val="Arial Narrow"/>
      <family val="2"/>
    </font>
  </fonts>
  <fills count="2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C0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B293E9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</borders>
  <cellStyleXfs count="9">
    <xf numFmtId="0" fontId="0" fillId="0" borderId="0"/>
    <xf numFmtId="9" fontId="21" fillId="0" borderId="0" applyFont="0" applyFill="0" applyBorder="0" applyAlignment="0" applyProtection="0"/>
    <xf numFmtId="0" fontId="31" fillId="0" borderId="0" applyNumberFormat="0" applyFill="0" applyBorder="0" applyAlignment="0" applyProtection="0"/>
    <xf numFmtId="43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55" fillId="11" borderId="0" applyNumberFormat="0" applyBorder="0" applyAlignment="0" applyProtection="0"/>
    <xf numFmtId="0" fontId="21" fillId="12" borderId="0" applyNumberFormat="0" applyBorder="0" applyAlignment="0" applyProtection="0"/>
    <xf numFmtId="0" fontId="55" fillId="13" borderId="0" applyNumberFormat="0" applyBorder="0" applyAlignment="0" applyProtection="0"/>
    <xf numFmtId="0" fontId="55" fillId="14" borderId="0" applyNumberFormat="0" applyBorder="0" applyAlignment="0" applyProtection="0"/>
  </cellStyleXfs>
  <cellXfs count="391">
    <xf numFmtId="0" fontId="0" fillId="0" borderId="0" xfId="0"/>
    <xf numFmtId="0" fontId="2" fillId="0" borderId="0" xfId="0" applyFont="1"/>
    <xf numFmtId="3" fontId="1" fillId="0" borderId="0" xfId="0" applyNumberFormat="1" applyFont="1"/>
    <xf numFmtId="3" fontId="2" fillId="0" borderId="0" xfId="0" applyNumberFormat="1" applyFont="1"/>
    <xf numFmtId="0" fontId="2" fillId="0" borderId="0" xfId="0" applyFont="1" applyAlignment="1">
      <alignment horizontal="center" wrapText="1"/>
    </xf>
    <xf numFmtId="0" fontId="1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4" fillId="0" borderId="0" xfId="0" applyFont="1"/>
    <xf numFmtId="165" fontId="10" fillId="2" borderId="0" xfId="0" applyNumberFormat="1" applyFont="1" applyFill="1"/>
    <xf numFmtId="3" fontId="0" fillId="0" borderId="0" xfId="0" applyNumberFormat="1"/>
    <xf numFmtId="1" fontId="0" fillId="0" borderId="0" xfId="0" applyNumberFormat="1"/>
    <xf numFmtId="0" fontId="1" fillId="3" borderId="0" xfId="0" applyFont="1" applyFill="1"/>
    <xf numFmtId="165" fontId="8" fillId="3" borderId="0" xfId="0" applyNumberFormat="1" applyFont="1" applyFill="1"/>
    <xf numFmtId="164" fontId="9" fillId="3" borderId="0" xfId="0" applyNumberFormat="1" applyFont="1" applyFill="1"/>
    <xf numFmtId="0" fontId="0" fillId="3" borderId="0" xfId="0" applyFill="1"/>
    <xf numFmtId="0" fontId="11" fillId="4" borderId="0" xfId="0" applyFont="1" applyFill="1"/>
    <xf numFmtId="0" fontId="1" fillId="4" borderId="0" xfId="0" applyFont="1" applyFill="1"/>
    <xf numFmtId="165" fontId="8" fillId="4" borderId="0" xfId="0" applyNumberFormat="1" applyFont="1" applyFill="1"/>
    <xf numFmtId="164" fontId="9" fillId="4" borderId="0" xfId="0" applyNumberFormat="1" applyFont="1" applyFill="1"/>
    <xf numFmtId="165" fontId="15" fillId="4" borderId="0" xfId="0" applyNumberFormat="1" applyFont="1" applyFill="1" applyAlignment="1">
      <alignment horizontal="right"/>
    </xf>
    <xf numFmtId="1" fontId="16" fillId="4" borderId="0" xfId="0" applyNumberFormat="1" applyFont="1" applyFill="1"/>
    <xf numFmtId="0" fontId="0" fillId="4" borderId="0" xfId="0" applyFill="1"/>
    <xf numFmtId="0" fontId="0" fillId="5" borderId="0" xfId="0" applyFill="1"/>
    <xf numFmtId="0" fontId="1" fillId="5" borderId="0" xfId="0" applyFont="1" applyFill="1"/>
    <xf numFmtId="165" fontId="8" fillId="5" borderId="0" xfId="0" applyNumberFormat="1" applyFont="1" applyFill="1"/>
    <xf numFmtId="164" fontId="9" fillId="5" borderId="0" xfId="0" applyNumberFormat="1" applyFont="1" applyFill="1"/>
    <xf numFmtId="165" fontId="15" fillId="5" borderId="0" xfId="0" applyNumberFormat="1" applyFont="1" applyFill="1" applyAlignment="1">
      <alignment horizontal="right"/>
    </xf>
    <xf numFmtId="1" fontId="16" fillId="5" borderId="0" xfId="0" applyNumberFormat="1" applyFont="1" applyFill="1"/>
    <xf numFmtId="0" fontId="11" fillId="5" borderId="0" xfId="0" applyFont="1" applyFill="1"/>
    <xf numFmtId="1" fontId="9" fillId="5" borderId="0" xfId="0" applyNumberFormat="1" applyFont="1" applyFill="1"/>
    <xf numFmtId="165" fontId="9" fillId="5" borderId="0" xfId="0" applyNumberFormat="1" applyFont="1" applyFill="1" applyAlignment="1">
      <alignment horizontal="right"/>
    </xf>
    <xf numFmtId="0" fontId="0" fillId="6" borderId="0" xfId="0" applyFill="1"/>
    <xf numFmtId="0" fontId="1" fillId="6" borderId="0" xfId="0" applyFont="1" applyFill="1"/>
    <xf numFmtId="165" fontId="8" fillId="6" borderId="0" xfId="0" applyNumberFormat="1" applyFont="1" applyFill="1"/>
    <xf numFmtId="164" fontId="9" fillId="6" borderId="0" xfId="0" applyNumberFormat="1" applyFont="1" applyFill="1"/>
    <xf numFmtId="165" fontId="15" fillId="6" borderId="0" xfId="0" applyNumberFormat="1" applyFont="1" applyFill="1" applyAlignment="1">
      <alignment horizontal="right"/>
    </xf>
    <xf numFmtId="1" fontId="16" fillId="6" borderId="0" xfId="0" applyNumberFormat="1" applyFont="1" applyFill="1"/>
    <xf numFmtId="165" fontId="9" fillId="6" borderId="0" xfId="0" applyNumberFormat="1" applyFont="1" applyFill="1" applyAlignment="1">
      <alignment horizontal="right"/>
    </xf>
    <xf numFmtId="1" fontId="9" fillId="6" borderId="0" xfId="0" applyNumberFormat="1" applyFont="1" applyFill="1"/>
    <xf numFmtId="0" fontId="0" fillId="7" borderId="0" xfId="0" applyFill="1"/>
    <xf numFmtId="0" fontId="1" fillId="7" borderId="0" xfId="0" applyFont="1" applyFill="1"/>
    <xf numFmtId="3" fontId="7" fillId="7" borderId="0" xfId="0" applyNumberFormat="1" applyFont="1" applyFill="1"/>
    <xf numFmtId="165" fontId="8" fillId="7" borderId="0" xfId="0" applyNumberFormat="1" applyFont="1" applyFill="1"/>
    <xf numFmtId="164" fontId="9" fillId="7" borderId="0" xfId="0" applyNumberFormat="1" applyFont="1" applyFill="1"/>
    <xf numFmtId="165" fontId="15" fillId="7" borderId="0" xfId="0" applyNumberFormat="1" applyFont="1" applyFill="1" applyAlignment="1">
      <alignment horizontal="right"/>
    </xf>
    <xf numFmtId="1" fontId="16" fillId="7" borderId="0" xfId="0" applyNumberFormat="1" applyFont="1" applyFill="1"/>
    <xf numFmtId="165" fontId="9" fillId="7" borderId="0" xfId="0" applyNumberFormat="1" applyFont="1" applyFill="1" applyAlignment="1">
      <alignment horizontal="right"/>
    </xf>
    <xf numFmtId="1" fontId="9" fillId="7" borderId="0" xfId="0" applyNumberFormat="1" applyFont="1" applyFill="1"/>
    <xf numFmtId="164" fontId="9" fillId="2" borderId="0" xfId="0" applyNumberFormat="1" applyFont="1" applyFill="1"/>
    <xf numFmtId="3" fontId="13" fillId="2" borderId="0" xfId="0" applyNumberFormat="1" applyFont="1" applyFill="1"/>
    <xf numFmtId="0" fontId="2" fillId="2" borderId="0" xfId="0" applyFont="1" applyFill="1"/>
    <xf numFmtId="1" fontId="19" fillId="0" borderId="0" xfId="0" applyNumberFormat="1" applyFont="1"/>
    <xf numFmtId="0" fontId="4" fillId="0" borderId="0" xfId="0" applyFont="1"/>
    <xf numFmtId="1" fontId="9" fillId="4" borderId="0" xfId="0" applyNumberFormat="1" applyFont="1" applyFill="1"/>
    <xf numFmtId="165" fontId="12" fillId="0" borderId="0" xfId="0" applyNumberFormat="1" applyFont="1"/>
    <xf numFmtId="165" fontId="16" fillId="0" borderId="0" xfId="0" applyNumberFormat="1" applyFont="1"/>
    <xf numFmtId="165" fontId="20" fillId="8" borderId="0" xfId="0" applyNumberFormat="1" applyFont="1" applyFill="1"/>
    <xf numFmtId="165" fontId="16" fillId="2" borderId="0" xfId="0" applyNumberFormat="1" applyFont="1" applyFill="1"/>
    <xf numFmtId="165" fontId="15" fillId="3" borderId="0" xfId="0" applyNumberFormat="1" applyFont="1" applyFill="1" applyAlignment="1">
      <alignment horizontal="right"/>
    </xf>
    <xf numFmtId="1" fontId="16" fillId="3" borderId="0" xfId="0" applyNumberFormat="1" applyFont="1" applyFill="1"/>
    <xf numFmtId="1" fontId="9" fillId="3" borderId="0" xfId="0" applyNumberFormat="1" applyFont="1" applyFill="1"/>
    <xf numFmtId="165" fontId="9" fillId="4" borderId="0" xfId="0" applyNumberFormat="1" applyFont="1" applyFill="1" applyAlignment="1">
      <alignment horizontal="right"/>
    </xf>
    <xf numFmtId="165" fontId="9" fillId="3" borderId="0" xfId="0" applyNumberFormat="1" applyFont="1" applyFill="1" applyAlignment="1">
      <alignment horizontal="right"/>
    </xf>
    <xf numFmtId="0" fontId="22" fillId="0" borderId="0" xfId="0" applyFont="1"/>
    <xf numFmtId="165" fontId="23" fillId="5" borderId="0" xfId="0" applyNumberFormat="1" applyFont="1" applyFill="1"/>
    <xf numFmtId="165" fontId="24" fillId="5" borderId="0" xfId="0" applyNumberFormat="1" applyFont="1" applyFill="1"/>
    <xf numFmtId="164" fontId="25" fillId="5" borderId="0" xfId="0" applyNumberFormat="1" applyFont="1" applyFill="1"/>
    <xf numFmtId="0" fontId="26" fillId="0" borderId="0" xfId="0" applyFont="1" applyAlignment="1">
      <alignment horizontal="center" wrapText="1"/>
    </xf>
    <xf numFmtId="165" fontId="24" fillId="0" borderId="0" xfId="0" applyNumberFormat="1" applyFont="1"/>
    <xf numFmtId="165" fontId="27" fillId="0" borderId="0" xfId="0" applyNumberFormat="1" applyFont="1"/>
    <xf numFmtId="1" fontId="27" fillId="0" borderId="0" xfId="0" applyNumberFormat="1" applyFont="1"/>
    <xf numFmtId="1" fontId="28" fillId="0" borderId="0" xfId="0" applyNumberFormat="1" applyFont="1"/>
    <xf numFmtId="10" fontId="29" fillId="0" borderId="0" xfId="1" applyNumberFormat="1" applyFont="1"/>
    <xf numFmtId="165" fontId="0" fillId="0" borderId="0" xfId="0" applyNumberFormat="1"/>
    <xf numFmtId="0" fontId="30" fillId="0" borderId="0" xfId="0" applyFont="1"/>
    <xf numFmtId="0" fontId="31" fillId="0" borderId="0" xfId="2"/>
    <xf numFmtId="165" fontId="14" fillId="0" borderId="0" xfId="0" applyNumberFormat="1" applyFont="1"/>
    <xf numFmtId="165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32" fillId="0" borderId="0" xfId="0" applyFont="1"/>
    <xf numFmtId="6" fontId="0" fillId="0" borderId="0" xfId="0" applyNumberFormat="1"/>
    <xf numFmtId="165" fontId="18" fillId="0" borderId="0" xfId="0" applyNumberFormat="1" applyFont="1" applyFill="1"/>
    <xf numFmtId="1" fontId="17" fillId="0" borderId="0" xfId="0" applyNumberFormat="1" applyFont="1" applyFill="1"/>
    <xf numFmtId="165" fontId="33" fillId="0" borderId="0" xfId="0" applyNumberFormat="1" applyFont="1" applyFill="1"/>
    <xf numFmtId="1" fontId="33" fillId="0" borderId="0" xfId="0" applyNumberFormat="1" applyFont="1" applyFill="1"/>
    <xf numFmtId="43" fontId="24" fillId="5" borderId="0" xfId="3" applyFont="1" applyFill="1"/>
    <xf numFmtId="0" fontId="4" fillId="0" borderId="0" xfId="0" applyFont="1" applyAlignment="1"/>
    <xf numFmtId="0" fontId="0" fillId="0" borderId="0" xfId="0" applyAlignment="1">
      <alignment horizontal="right"/>
    </xf>
    <xf numFmtId="0" fontId="1" fillId="0" borderId="0" xfId="0" applyFont="1"/>
    <xf numFmtId="0" fontId="21" fillId="0" borderId="0" xfId="0" applyFont="1"/>
    <xf numFmtId="0" fontId="0" fillId="0" borderId="0" xfId="0" applyFont="1"/>
    <xf numFmtId="166" fontId="0" fillId="0" borderId="0" xfId="0" applyNumberFormat="1"/>
    <xf numFmtId="165" fontId="0" fillId="2" borderId="0" xfId="0" applyNumberFormat="1" applyFill="1"/>
    <xf numFmtId="10" fontId="0" fillId="0" borderId="0" xfId="1" applyNumberFormat="1" applyFont="1"/>
    <xf numFmtId="43" fontId="0" fillId="0" borderId="0" xfId="3" applyFont="1"/>
    <xf numFmtId="167" fontId="0" fillId="0" borderId="0" xfId="0" applyNumberFormat="1"/>
    <xf numFmtId="165" fontId="0" fillId="0" borderId="0" xfId="4" applyNumberFormat="1" applyFont="1"/>
    <xf numFmtId="0" fontId="1" fillId="0" borderId="0" xfId="0" applyFont="1"/>
    <xf numFmtId="10" fontId="36" fillId="5" borderId="0" xfId="1" applyNumberFormat="1" applyFont="1" applyFill="1"/>
    <xf numFmtId="10" fontId="0" fillId="0" borderId="0" xfId="0" applyNumberFormat="1"/>
    <xf numFmtId="165" fontId="0" fillId="0" borderId="0" xfId="3" applyNumberFormat="1" applyFont="1"/>
    <xf numFmtId="165" fontId="38" fillId="0" borderId="0" xfId="0" applyNumberFormat="1" applyFont="1"/>
    <xf numFmtId="165" fontId="37" fillId="5" borderId="0" xfId="4" applyNumberFormat="1" applyFont="1" applyFill="1"/>
    <xf numFmtId="168" fontId="20" fillId="8" borderId="0" xfId="3" applyNumberFormat="1" applyFont="1" applyFill="1"/>
    <xf numFmtId="0" fontId="4" fillId="0" borderId="0" xfId="0" applyFont="1"/>
    <xf numFmtId="168" fontId="0" fillId="0" borderId="0" xfId="0" applyNumberFormat="1"/>
    <xf numFmtId="171" fontId="0" fillId="0" borderId="0" xfId="4" applyNumberFormat="1" applyFont="1"/>
    <xf numFmtId="169" fontId="0" fillId="0" borderId="0" xfId="3" applyNumberFormat="1" applyFont="1"/>
    <xf numFmtId="168" fontId="0" fillId="0" borderId="0" xfId="3" applyNumberFormat="1" applyFont="1"/>
    <xf numFmtId="168" fontId="35" fillId="0" borderId="0" xfId="3" applyNumberFormat="1" applyFont="1"/>
    <xf numFmtId="168" fontId="0" fillId="2" borderId="0" xfId="3" applyNumberFormat="1" applyFont="1" applyFill="1"/>
    <xf numFmtId="0" fontId="39" fillId="0" borderId="0" xfId="0" applyFont="1"/>
    <xf numFmtId="0" fontId="41" fillId="0" borderId="0" xfId="0" applyFont="1"/>
    <xf numFmtId="0" fontId="42" fillId="0" borderId="0" xfId="0" applyFont="1"/>
    <xf numFmtId="10" fontId="43" fillId="0" borderId="0" xfId="1" applyNumberFormat="1" applyFont="1"/>
    <xf numFmtId="165" fontId="44" fillId="0" borderId="0" xfId="0" applyNumberFormat="1" applyFont="1"/>
    <xf numFmtId="2" fontId="45" fillId="0" borderId="0" xfId="0" applyNumberFormat="1" applyFont="1"/>
    <xf numFmtId="165" fontId="46" fillId="0" borderId="0" xfId="0" applyNumberFormat="1" applyFont="1"/>
    <xf numFmtId="0" fontId="40" fillId="0" borderId="0" xfId="0" applyFont="1"/>
    <xf numFmtId="0" fontId="47" fillId="0" borderId="0" xfId="0" applyFont="1"/>
    <xf numFmtId="165" fontId="44" fillId="2" borderId="0" xfId="0" applyNumberFormat="1" applyFont="1" applyFill="1"/>
    <xf numFmtId="2" fontId="45" fillId="2" borderId="0" xfId="0" applyNumberFormat="1" applyFont="1" applyFill="1"/>
    <xf numFmtId="0" fontId="50" fillId="0" borderId="0" xfId="0" applyFont="1"/>
    <xf numFmtId="0" fontId="51" fillId="0" borderId="0" xfId="0" applyFont="1" applyAlignment="1">
      <alignment horizontal="center" wrapText="1"/>
    </xf>
    <xf numFmtId="0" fontId="52" fillId="0" borderId="0" xfId="0" applyFont="1"/>
    <xf numFmtId="0" fontId="11" fillId="0" borderId="0" xfId="0" applyFont="1"/>
    <xf numFmtId="0" fontId="31" fillId="0" borderId="0" xfId="2" applyFont="1"/>
    <xf numFmtId="170" fontId="0" fillId="0" borderId="0" xfId="0" applyNumberFormat="1" applyFont="1"/>
    <xf numFmtId="1" fontId="0" fillId="0" borderId="0" xfId="0" applyNumberFormat="1" applyFont="1"/>
    <xf numFmtId="0" fontId="5" fillId="0" borderId="0" xfId="0" applyFont="1" applyAlignment="1">
      <alignment horizontal="center" wrapText="1"/>
    </xf>
    <xf numFmtId="0" fontId="0" fillId="0" borderId="0" xfId="0" applyFont="1" applyAlignment="1">
      <alignment horizontal="center" wrapText="1"/>
    </xf>
    <xf numFmtId="0" fontId="0" fillId="5" borderId="0" xfId="0" applyFont="1" applyFill="1"/>
    <xf numFmtId="0" fontId="4" fillId="5" borderId="0" xfId="0" applyFont="1" applyFill="1"/>
    <xf numFmtId="3" fontId="4" fillId="5" borderId="0" xfId="0" applyNumberFormat="1" applyFont="1" applyFill="1"/>
    <xf numFmtId="168" fontId="4" fillId="5" borderId="0" xfId="3" applyNumberFormat="1" applyFont="1" applyFill="1"/>
    <xf numFmtId="165" fontId="0" fillId="0" borderId="0" xfId="0" applyNumberFormat="1" applyFont="1"/>
    <xf numFmtId="164" fontId="0" fillId="0" borderId="0" xfId="0" applyNumberFormat="1" applyFont="1"/>
    <xf numFmtId="0" fontId="0" fillId="6" borderId="0" xfId="0" applyFont="1" applyFill="1"/>
    <xf numFmtId="0" fontId="4" fillId="6" borderId="0" xfId="0" applyFont="1" applyFill="1"/>
    <xf numFmtId="3" fontId="4" fillId="6" borderId="0" xfId="0" applyNumberFormat="1" applyFont="1" applyFill="1"/>
    <xf numFmtId="168" fontId="4" fillId="6" borderId="0" xfId="3" applyNumberFormat="1" applyFont="1" applyFill="1"/>
    <xf numFmtId="167" fontId="0" fillId="0" borderId="0" xfId="0" applyNumberFormat="1" applyFont="1"/>
    <xf numFmtId="166" fontId="0" fillId="0" borderId="0" xfId="0" applyNumberFormat="1" applyFont="1"/>
    <xf numFmtId="0" fontId="0" fillId="7" borderId="0" xfId="0" applyFont="1" applyFill="1"/>
    <xf numFmtId="0" fontId="4" fillId="7" borderId="0" xfId="0" applyFont="1" applyFill="1"/>
    <xf numFmtId="3" fontId="4" fillId="7" borderId="0" xfId="0" applyNumberFormat="1" applyFont="1" applyFill="1"/>
    <xf numFmtId="168" fontId="4" fillId="7" borderId="0" xfId="3" applyNumberFormat="1" applyFont="1" applyFill="1"/>
    <xf numFmtId="0" fontId="4" fillId="4" borderId="0" xfId="0" applyFont="1" applyFill="1"/>
    <xf numFmtId="3" fontId="4" fillId="4" borderId="0" xfId="0" applyNumberFormat="1" applyFont="1" applyFill="1"/>
    <xf numFmtId="168" fontId="4" fillId="4" borderId="0" xfId="3" applyNumberFormat="1" applyFont="1" applyFill="1"/>
    <xf numFmtId="0" fontId="0" fillId="4" borderId="0" xfId="0" applyFont="1" applyFill="1"/>
    <xf numFmtId="0" fontId="0" fillId="3" borderId="0" xfId="0" applyFont="1" applyFill="1"/>
    <xf numFmtId="0" fontId="4" fillId="3" borderId="0" xfId="0" applyFont="1" applyFill="1"/>
    <xf numFmtId="3" fontId="4" fillId="3" borderId="0" xfId="0" applyNumberFormat="1" applyFont="1" applyFill="1"/>
    <xf numFmtId="168" fontId="4" fillId="3" borderId="0" xfId="3" applyNumberFormat="1" applyFont="1" applyFill="1"/>
    <xf numFmtId="0" fontId="5" fillId="2" borderId="0" xfId="0" applyFont="1" applyFill="1"/>
    <xf numFmtId="0" fontId="4" fillId="2" borderId="0" xfId="0" applyFont="1" applyFill="1"/>
    <xf numFmtId="168" fontId="5" fillId="2" borderId="0" xfId="3" applyNumberFormat="1" applyFont="1" applyFill="1" applyAlignment="1">
      <alignment horizontal="left"/>
    </xf>
    <xf numFmtId="3" fontId="5" fillId="2" borderId="0" xfId="0" applyNumberFormat="1" applyFont="1" applyFill="1"/>
    <xf numFmtId="10" fontId="5" fillId="2" borderId="0" xfId="1" applyNumberFormat="1" applyFont="1" applyFill="1"/>
    <xf numFmtId="0" fontId="0" fillId="0" borderId="0" xfId="0" applyFont="1" applyAlignment="1">
      <alignment horizontal="right"/>
    </xf>
    <xf numFmtId="10" fontId="0" fillId="0" borderId="0" xfId="0" applyNumberFormat="1" applyFont="1"/>
    <xf numFmtId="3" fontId="0" fillId="0" borderId="0" xfId="0" applyNumberFormat="1" applyFont="1"/>
    <xf numFmtId="3" fontId="4" fillId="0" borderId="0" xfId="0" applyNumberFormat="1" applyFont="1"/>
    <xf numFmtId="3" fontId="5" fillId="0" borderId="0" xfId="0" applyNumberFormat="1" applyFont="1"/>
    <xf numFmtId="3" fontId="43" fillId="9" borderId="0" xfId="0" applyNumberFormat="1" applyFont="1" applyFill="1"/>
    <xf numFmtId="3" fontId="43" fillId="7" borderId="0" xfId="0" applyNumberFormat="1" applyFont="1" applyFill="1"/>
    <xf numFmtId="3" fontId="39" fillId="7" borderId="0" xfId="0" applyNumberFormat="1" applyFont="1" applyFill="1"/>
    <xf numFmtId="3" fontId="43" fillId="10" borderId="0" xfId="0" applyNumberFormat="1" applyFont="1" applyFill="1"/>
    <xf numFmtId="168" fontId="43" fillId="7" borderId="0" xfId="3" applyNumberFormat="1" applyFont="1" applyFill="1"/>
    <xf numFmtId="3" fontId="36" fillId="5" borderId="0" xfId="0" applyNumberFormat="1" applyFont="1" applyFill="1"/>
    <xf numFmtId="3" fontId="36" fillId="7" borderId="0" xfId="0" applyNumberFormat="1" applyFont="1" applyFill="1"/>
    <xf numFmtId="3" fontId="36" fillId="6" borderId="0" xfId="0" applyNumberFormat="1" applyFont="1" applyFill="1"/>
    <xf numFmtId="3" fontId="36" fillId="4" borderId="0" xfId="0" applyNumberFormat="1" applyFont="1" applyFill="1"/>
    <xf numFmtId="3" fontId="36" fillId="3" borderId="0" xfId="0" applyNumberFormat="1" applyFont="1" applyFill="1"/>
    <xf numFmtId="10" fontId="36" fillId="6" borderId="0" xfId="1" applyNumberFormat="1" applyFont="1" applyFill="1"/>
    <xf numFmtId="10" fontId="36" fillId="7" borderId="0" xfId="1" applyNumberFormat="1" applyFont="1" applyFill="1"/>
    <xf numFmtId="10" fontId="36" fillId="4" borderId="0" xfId="1" applyNumberFormat="1" applyFont="1" applyFill="1"/>
    <xf numFmtId="10" fontId="36" fillId="3" borderId="0" xfId="1" applyNumberFormat="1" applyFont="1" applyFill="1"/>
    <xf numFmtId="10" fontId="4" fillId="6" borderId="0" xfId="1" applyNumberFormat="1" applyFont="1" applyFill="1"/>
    <xf numFmtId="10" fontId="4" fillId="5" borderId="0" xfId="1" applyNumberFormat="1" applyFont="1" applyFill="1"/>
    <xf numFmtId="10" fontId="4" fillId="7" borderId="0" xfId="1" applyNumberFormat="1" applyFont="1" applyFill="1"/>
    <xf numFmtId="10" fontId="36" fillId="2" borderId="0" xfId="1" applyNumberFormat="1" applyFont="1" applyFill="1"/>
    <xf numFmtId="10" fontId="4" fillId="3" borderId="0" xfId="1" applyNumberFormat="1" applyFont="1" applyFill="1"/>
    <xf numFmtId="10" fontId="4" fillId="4" borderId="0" xfId="1" applyNumberFormat="1" applyFont="1" applyFill="1"/>
    <xf numFmtId="0" fontId="56" fillId="0" borderId="0" xfId="0" applyFont="1" applyFill="1"/>
    <xf numFmtId="0" fontId="57" fillId="0" borderId="0" xfId="0" applyFont="1"/>
    <xf numFmtId="164" fontId="0" fillId="0" borderId="0" xfId="0" applyNumberFormat="1"/>
    <xf numFmtId="9" fontId="0" fillId="0" borderId="0" xfId="1" applyFont="1"/>
    <xf numFmtId="1" fontId="55" fillId="13" borderId="0" xfId="7" applyNumberFormat="1"/>
    <xf numFmtId="3" fontId="4" fillId="2" borderId="0" xfId="0" applyNumberFormat="1" applyFont="1" applyFill="1"/>
    <xf numFmtId="10" fontId="4" fillId="2" borderId="0" xfId="1" applyNumberFormat="1" applyFont="1" applyFill="1"/>
    <xf numFmtId="10" fontId="58" fillId="2" borderId="0" xfId="1" applyNumberFormat="1" applyFont="1" applyFill="1"/>
    <xf numFmtId="10" fontId="0" fillId="0" borderId="0" xfId="1" applyNumberFormat="1" applyFont="1" applyAlignment="1">
      <alignment horizontal="right"/>
    </xf>
    <xf numFmtId="172" fontId="55" fillId="11" borderId="0" xfId="4" applyNumberFormat="1" applyFont="1" applyFill="1"/>
    <xf numFmtId="172" fontId="55" fillId="14" borderId="0" xfId="8" applyNumberFormat="1"/>
    <xf numFmtId="1" fontId="21" fillId="12" borderId="0" xfId="6" applyNumberFormat="1"/>
    <xf numFmtId="172" fontId="55" fillId="11" borderId="0" xfId="5" applyNumberFormat="1"/>
    <xf numFmtId="171" fontId="54" fillId="8" borderId="0" xfId="4" applyNumberFormat="1" applyFont="1" applyFill="1"/>
    <xf numFmtId="168" fontId="54" fillId="15" borderId="0" xfId="3" applyNumberFormat="1" applyFont="1" applyFill="1"/>
    <xf numFmtId="165" fontId="54" fillId="15" borderId="0" xfId="0" applyNumberFormat="1" applyFont="1" applyFill="1"/>
    <xf numFmtId="168" fontId="6" fillId="6" borderId="0" xfId="3" applyNumberFormat="1" applyFont="1" applyFill="1"/>
    <xf numFmtId="0" fontId="49" fillId="7" borderId="0" xfId="0" applyFont="1" applyFill="1"/>
    <xf numFmtId="0" fontId="4" fillId="0" borderId="0" xfId="0" applyFont="1"/>
    <xf numFmtId="165" fontId="4" fillId="5" borderId="0" xfId="0" applyNumberFormat="1" applyFont="1" applyFill="1"/>
    <xf numFmtId="165" fontId="4" fillId="6" borderId="0" xfId="0" applyNumberFormat="1" applyFont="1" applyFill="1"/>
    <xf numFmtId="165" fontId="4" fillId="7" borderId="0" xfId="0" applyNumberFormat="1" applyFont="1" applyFill="1"/>
    <xf numFmtId="165" fontId="4" fillId="4" borderId="0" xfId="0" applyNumberFormat="1" applyFont="1" applyFill="1"/>
    <xf numFmtId="165" fontId="4" fillId="3" borderId="0" xfId="0" applyNumberFormat="1" applyFont="1" applyFill="1"/>
    <xf numFmtId="164" fontId="8" fillId="5" borderId="0" xfId="0" applyNumberFormat="1" applyFont="1" applyFill="1"/>
    <xf numFmtId="164" fontId="8" fillId="6" borderId="0" xfId="0" applyNumberFormat="1" applyFont="1" applyFill="1"/>
    <xf numFmtId="164" fontId="8" fillId="7" borderId="0" xfId="0" applyNumberFormat="1" applyFont="1" applyFill="1"/>
    <xf numFmtId="164" fontId="8" fillId="4" borderId="0" xfId="0" applyNumberFormat="1" applyFont="1" applyFill="1"/>
    <xf numFmtId="164" fontId="8" fillId="3" borderId="0" xfId="0" applyNumberFormat="1" applyFont="1" applyFill="1"/>
    <xf numFmtId="171" fontId="21" fillId="12" borderId="0" xfId="4" applyNumberFormat="1" applyFont="1" applyFill="1"/>
    <xf numFmtId="171" fontId="21" fillId="13" borderId="0" xfId="4" applyNumberFormat="1" applyFont="1" applyFill="1"/>
    <xf numFmtId="0" fontId="0" fillId="0" borderId="0" xfId="0" applyAlignment="1">
      <alignment wrapText="1"/>
    </xf>
    <xf numFmtId="0" fontId="59" fillId="0" borderId="0" xfId="0" applyFont="1" applyAlignment="1">
      <alignment horizontal="center" wrapText="1"/>
    </xf>
    <xf numFmtId="3" fontId="7" fillId="0" borderId="0" xfId="0" applyNumberFormat="1" applyFont="1"/>
    <xf numFmtId="172" fontId="4" fillId="5" borderId="0" xfId="0" applyNumberFormat="1" applyFont="1" applyFill="1"/>
    <xf numFmtId="172" fontId="4" fillId="6" borderId="0" xfId="0" applyNumberFormat="1" applyFont="1" applyFill="1"/>
    <xf numFmtId="172" fontId="4" fillId="7" borderId="0" xfId="0" applyNumberFormat="1" applyFont="1" applyFill="1"/>
    <xf numFmtId="172" fontId="4" fillId="4" borderId="0" xfId="0" applyNumberFormat="1" applyFont="1" applyFill="1"/>
    <xf numFmtId="172" fontId="4" fillId="3" borderId="0" xfId="0" applyNumberFormat="1" applyFont="1" applyFill="1"/>
    <xf numFmtId="1" fontId="10" fillId="0" borderId="0" xfId="0" applyNumberFormat="1" applyFont="1"/>
    <xf numFmtId="1" fontId="10" fillId="0" borderId="0" xfId="0" applyNumberFormat="1" applyFont="1" applyFill="1"/>
    <xf numFmtId="165" fontId="10" fillId="0" borderId="0" xfId="0" applyNumberFormat="1" applyFont="1" applyFill="1"/>
    <xf numFmtId="165" fontId="10" fillId="0" borderId="0" xfId="0" applyNumberFormat="1" applyFont="1"/>
    <xf numFmtId="171" fontId="4" fillId="0" borderId="0" xfId="4" applyNumberFormat="1" applyFont="1"/>
    <xf numFmtId="171" fontId="5" fillId="0" borderId="0" xfId="4" applyNumberFormat="1" applyFont="1"/>
    <xf numFmtId="0" fontId="60" fillId="0" borderId="0" xfId="0" applyFont="1"/>
    <xf numFmtId="165" fontId="61" fillId="0" borderId="0" xfId="0" applyNumberFormat="1" applyFont="1"/>
    <xf numFmtId="164" fontId="62" fillId="0" borderId="0" xfId="0" applyNumberFormat="1" applyFont="1"/>
    <xf numFmtId="0" fontId="39" fillId="16" borderId="0" xfId="0" applyFont="1" applyFill="1"/>
    <xf numFmtId="3" fontId="39" fillId="10" borderId="1" xfId="0" applyNumberFormat="1" applyFont="1" applyFill="1" applyBorder="1"/>
    <xf numFmtId="3" fontId="39" fillId="7" borderId="1" xfId="0" applyNumberFormat="1" applyFont="1" applyFill="1" applyBorder="1"/>
    <xf numFmtId="0" fontId="51" fillId="17" borderId="0" xfId="0" applyFont="1" applyFill="1" applyAlignment="1">
      <alignment horizontal="center" wrapText="1"/>
    </xf>
    <xf numFmtId="0" fontId="51" fillId="18" borderId="0" xfId="0" applyFont="1" applyFill="1" applyAlignment="1">
      <alignment horizontal="center" wrapText="1"/>
    </xf>
    <xf numFmtId="0" fontId="51" fillId="19" borderId="0" xfId="0" applyFont="1" applyFill="1" applyAlignment="1">
      <alignment horizontal="center" wrapText="1"/>
    </xf>
    <xf numFmtId="0" fontId="64" fillId="0" borderId="0" xfId="0" applyFont="1"/>
    <xf numFmtId="0" fontId="35" fillId="0" borderId="0" xfId="0" applyFont="1"/>
    <xf numFmtId="0" fontId="5" fillId="20" borderId="0" xfId="0" applyFont="1" applyFill="1"/>
    <xf numFmtId="0" fontId="4" fillId="20" borderId="0" xfId="0" applyFont="1" applyFill="1"/>
    <xf numFmtId="3" fontId="5" fillId="20" borderId="0" xfId="0" applyNumberFormat="1" applyFont="1" applyFill="1"/>
    <xf numFmtId="10" fontId="5" fillId="20" borderId="0" xfId="1" applyNumberFormat="1" applyFont="1" applyFill="1"/>
    <xf numFmtId="10" fontId="36" fillId="20" borderId="0" xfId="1" applyNumberFormat="1" applyFont="1" applyFill="1"/>
    <xf numFmtId="10" fontId="0" fillId="20" borderId="0" xfId="1" applyNumberFormat="1" applyFont="1" applyFill="1"/>
    <xf numFmtId="0" fontId="5" fillId="21" borderId="0" xfId="0" applyFont="1" applyFill="1"/>
    <xf numFmtId="0" fontId="4" fillId="21" borderId="0" xfId="0" applyFont="1" applyFill="1"/>
    <xf numFmtId="3" fontId="5" fillId="21" borderId="0" xfId="0" applyNumberFormat="1" applyFont="1" applyFill="1"/>
    <xf numFmtId="10" fontId="5" fillId="21" borderId="0" xfId="1" applyNumberFormat="1" applyFont="1" applyFill="1"/>
    <xf numFmtId="10" fontId="36" fillId="21" borderId="0" xfId="1" applyNumberFormat="1" applyFont="1" applyFill="1"/>
    <xf numFmtId="10" fontId="0" fillId="21" borderId="0" xfId="1" applyNumberFormat="1" applyFont="1" applyFill="1"/>
    <xf numFmtId="0" fontId="5" fillId="22" borderId="0" xfId="0" applyFont="1" applyFill="1"/>
    <xf numFmtId="0" fontId="4" fillId="22" borderId="0" xfId="0" applyFont="1" applyFill="1"/>
    <xf numFmtId="3" fontId="5" fillId="22" borderId="0" xfId="0" applyNumberFormat="1" applyFont="1" applyFill="1"/>
    <xf numFmtId="10" fontId="5" fillId="22" borderId="0" xfId="1" applyNumberFormat="1" applyFont="1" applyFill="1"/>
    <xf numFmtId="10" fontId="36" fillId="22" borderId="0" xfId="1" applyNumberFormat="1" applyFont="1" applyFill="1"/>
    <xf numFmtId="10" fontId="0" fillId="22" borderId="0" xfId="1" applyNumberFormat="1" applyFont="1" applyFill="1"/>
    <xf numFmtId="0" fontId="5" fillId="23" borderId="0" xfId="0" applyFont="1" applyFill="1"/>
    <xf numFmtId="0" fontId="4" fillId="23" borderId="0" xfId="0" applyFont="1" applyFill="1"/>
    <xf numFmtId="3" fontId="5" fillId="23" borderId="0" xfId="0" applyNumberFormat="1" applyFont="1" applyFill="1"/>
    <xf numFmtId="10" fontId="5" fillId="23" borderId="0" xfId="1" applyNumberFormat="1" applyFont="1" applyFill="1"/>
    <xf numFmtId="10" fontId="36" fillId="23" borderId="0" xfId="1" applyNumberFormat="1" applyFont="1" applyFill="1"/>
    <xf numFmtId="10" fontId="0" fillId="23" borderId="0" xfId="1" applyNumberFormat="1" applyFont="1" applyFill="1"/>
    <xf numFmtId="10" fontId="0" fillId="0" borderId="0" xfId="1" applyNumberFormat="1" applyFont="1" applyFill="1"/>
    <xf numFmtId="165" fontId="8" fillId="2" borderId="0" xfId="0" applyNumberFormat="1" applyFont="1" applyFill="1"/>
    <xf numFmtId="164" fontId="8" fillId="2" borderId="0" xfId="0" applyNumberFormat="1" applyFont="1" applyFill="1"/>
    <xf numFmtId="165" fontId="8" fillId="20" borderId="0" xfId="0" applyNumberFormat="1" applyFont="1" applyFill="1"/>
    <xf numFmtId="164" fontId="8" fillId="20" borderId="0" xfId="0" applyNumberFormat="1" applyFont="1" applyFill="1"/>
    <xf numFmtId="165" fontId="8" fillId="21" borderId="0" xfId="0" applyNumberFormat="1" applyFont="1" applyFill="1"/>
    <xf numFmtId="164" fontId="8" fillId="21" borderId="0" xfId="0" applyNumberFormat="1" applyFont="1" applyFill="1"/>
    <xf numFmtId="165" fontId="8" fillId="22" borderId="0" xfId="0" applyNumberFormat="1" applyFont="1" applyFill="1"/>
    <xf numFmtId="164" fontId="8" fillId="22" borderId="0" xfId="0" applyNumberFormat="1" applyFont="1" applyFill="1"/>
    <xf numFmtId="165" fontId="8" fillId="23" borderId="0" xfId="0" applyNumberFormat="1" applyFont="1" applyFill="1"/>
    <xf numFmtId="164" fontId="8" fillId="23" borderId="0" xfId="0" applyNumberFormat="1" applyFont="1" applyFill="1"/>
    <xf numFmtId="169" fontId="12" fillId="20" borderId="0" xfId="3" applyNumberFormat="1" applyFont="1" applyFill="1"/>
    <xf numFmtId="169" fontId="12" fillId="21" borderId="0" xfId="3" applyNumberFormat="1" applyFont="1" applyFill="1"/>
    <xf numFmtId="169" fontId="12" fillId="22" borderId="0" xfId="3" applyNumberFormat="1" applyFont="1" applyFill="1"/>
    <xf numFmtId="169" fontId="12" fillId="23" borderId="0" xfId="3" applyNumberFormat="1" applyFont="1" applyFill="1"/>
    <xf numFmtId="165" fontId="12" fillId="20" borderId="0" xfId="0" applyNumberFormat="1" applyFont="1" applyFill="1"/>
    <xf numFmtId="165" fontId="12" fillId="21" borderId="0" xfId="0" applyNumberFormat="1" applyFont="1" applyFill="1"/>
    <xf numFmtId="165" fontId="12" fillId="22" borderId="0" xfId="0" applyNumberFormat="1" applyFont="1" applyFill="1"/>
    <xf numFmtId="165" fontId="12" fillId="23" borderId="0" xfId="0" applyNumberFormat="1" applyFont="1" applyFill="1"/>
    <xf numFmtId="164" fontId="33" fillId="2" borderId="0" xfId="0" applyNumberFormat="1" applyFont="1" applyFill="1"/>
    <xf numFmtId="165" fontId="65" fillId="2" borderId="0" xfId="0" applyNumberFormat="1" applyFont="1" applyFill="1"/>
    <xf numFmtId="164" fontId="14" fillId="2" borderId="0" xfId="0" applyNumberFormat="1" applyFont="1" applyFill="1"/>
    <xf numFmtId="168" fontId="13" fillId="20" borderId="0" xfId="3" applyNumberFormat="1" applyFont="1" applyFill="1"/>
    <xf numFmtId="168" fontId="13" fillId="21" borderId="0" xfId="3" applyNumberFormat="1" applyFont="1" applyFill="1"/>
    <xf numFmtId="168" fontId="13" fillId="22" borderId="0" xfId="3" applyNumberFormat="1" applyFont="1" applyFill="1"/>
    <xf numFmtId="168" fontId="13" fillId="23" borderId="0" xfId="3" applyNumberFormat="1" applyFont="1" applyFill="1"/>
    <xf numFmtId="0" fontId="5" fillId="0" borderId="0" xfId="0" applyFont="1" applyFill="1"/>
    <xf numFmtId="0" fontId="4" fillId="0" borderId="0" xfId="0" applyFont="1" applyFill="1"/>
    <xf numFmtId="3" fontId="5" fillId="0" borderId="0" xfId="0" applyNumberFormat="1" applyFont="1" applyFill="1"/>
    <xf numFmtId="3" fontId="13" fillId="0" borderId="0" xfId="0" applyNumberFormat="1" applyFont="1" applyFill="1"/>
    <xf numFmtId="164" fontId="9" fillId="0" borderId="0" xfId="0" applyNumberFormat="1" applyFont="1" applyFill="1"/>
    <xf numFmtId="165" fontId="12" fillId="2" borderId="0" xfId="0" applyNumberFormat="1" applyFont="1" applyFill="1"/>
    <xf numFmtId="164" fontId="33" fillId="20" borderId="0" xfId="0" applyNumberFormat="1" applyFont="1" applyFill="1"/>
    <xf numFmtId="164" fontId="33" fillId="21" borderId="0" xfId="0" applyNumberFormat="1" applyFont="1" applyFill="1"/>
    <xf numFmtId="164" fontId="33" fillId="22" borderId="0" xfId="0" applyNumberFormat="1" applyFont="1" applyFill="1"/>
    <xf numFmtId="164" fontId="33" fillId="23" borderId="0" xfId="0" applyNumberFormat="1" applyFont="1" applyFill="1"/>
    <xf numFmtId="3" fontId="13" fillId="20" borderId="0" xfId="0" applyNumberFormat="1" applyFont="1" applyFill="1"/>
    <xf numFmtId="3" fontId="13" fillId="21" borderId="0" xfId="0" applyNumberFormat="1" applyFont="1" applyFill="1"/>
    <xf numFmtId="3" fontId="13" fillId="22" borderId="0" xfId="0" applyNumberFormat="1" applyFont="1" applyFill="1"/>
    <xf numFmtId="3" fontId="13" fillId="23" borderId="0" xfId="0" applyNumberFormat="1" applyFont="1" applyFill="1"/>
    <xf numFmtId="165" fontId="66" fillId="20" borderId="0" xfId="0" applyNumberFormat="1" applyFont="1" applyFill="1"/>
    <xf numFmtId="165" fontId="66" fillId="21" borderId="0" xfId="0" applyNumberFormat="1" applyFont="1" applyFill="1"/>
    <xf numFmtId="165" fontId="66" fillId="22" borderId="0" xfId="0" applyNumberFormat="1" applyFont="1" applyFill="1"/>
    <xf numFmtId="165" fontId="66" fillId="23" borderId="0" xfId="0" applyNumberFormat="1" applyFont="1" applyFill="1"/>
    <xf numFmtId="165" fontId="66" fillId="2" borderId="0" xfId="0" applyNumberFormat="1" applyFont="1" applyFill="1"/>
    <xf numFmtId="0" fontId="43" fillId="0" borderId="0" xfId="0" applyFont="1"/>
    <xf numFmtId="0" fontId="51" fillId="25" borderId="0" xfId="0" applyFont="1" applyFill="1" applyAlignment="1">
      <alignment horizontal="center" wrapText="1"/>
    </xf>
    <xf numFmtId="0" fontId="51" fillId="26" borderId="0" xfId="0" applyFont="1" applyFill="1" applyAlignment="1">
      <alignment horizontal="center" wrapText="1"/>
    </xf>
    <xf numFmtId="165" fontId="43" fillId="0" borderId="0" xfId="0" applyNumberFormat="1" applyFont="1"/>
    <xf numFmtId="165" fontId="43" fillId="7" borderId="0" xfId="3" applyNumberFormat="1" applyFont="1" applyFill="1"/>
    <xf numFmtId="0" fontId="42" fillId="9" borderId="0" xfId="0" applyFont="1" applyFill="1"/>
    <xf numFmtId="3" fontId="42" fillId="10" borderId="0" xfId="0" applyNumberFormat="1" applyFont="1" applyFill="1"/>
    <xf numFmtId="0" fontId="42" fillId="7" borderId="0" xfId="0" applyFont="1" applyFill="1"/>
    <xf numFmtId="171" fontId="43" fillId="0" borderId="0" xfId="4" applyNumberFormat="1" applyFont="1"/>
    <xf numFmtId="0" fontId="67" fillId="24" borderId="2" xfId="0" applyFont="1" applyFill="1" applyBorder="1"/>
    <xf numFmtId="0" fontId="67" fillId="24" borderId="1" xfId="0" applyFont="1" applyFill="1" applyBorder="1" applyAlignment="1">
      <alignment horizontal="center" wrapText="1"/>
    </xf>
    <xf numFmtId="165" fontId="68" fillId="17" borderId="1" xfId="0" applyNumberFormat="1" applyFont="1" applyFill="1" applyBorder="1" applyAlignment="1">
      <alignment horizontal="center" wrapText="1"/>
    </xf>
    <xf numFmtId="165" fontId="68" fillId="18" borderId="1" xfId="0" applyNumberFormat="1" applyFont="1" applyFill="1" applyBorder="1" applyAlignment="1">
      <alignment horizontal="center" wrapText="1"/>
    </xf>
    <xf numFmtId="165" fontId="68" fillId="19" borderId="1" xfId="0" applyNumberFormat="1" applyFont="1" applyFill="1" applyBorder="1" applyAlignment="1">
      <alignment horizontal="center" wrapText="1"/>
    </xf>
    <xf numFmtId="165" fontId="68" fillId="24" borderId="1" xfId="0" applyNumberFormat="1" applyFont="1" applyFill="1" applyBorder="1" applyAlignment="1">
      <alignment horizontal="center" wrapText="1"/>
    </xf>
    <xf numFmtId="10" fontId="68" fillId="24" borderId="1" xfId="1" applyNumberFormat="1" applyFont="1" applyFill="1" applyBorder="1" applyAlignment="1">
      <alignment horizontal="center" wrapText="1"/>
    </xf>
    <xf numFmtId="10" fontId="68" fillId="25" borderId="1" xfId="1" applyNumberFormat="1" applyFont="1" applyFill="1" applyBorder="1" applyAlignment="1">
      <alignment horizontal="center" wrapText="1"/>
    </xf>
    <xf numFmtId="0" fontId="68" fillId="17" borderId="1" xfId="0" applyFont="1" applyFill="1" applyBorder="1" applyAlignment="1">
      <alignment horizontal="center" wrapText="1"/>
    </xf>
    <xf numFmtId="0" fontId="68" fillId="18" borderId="1" xfId="0" applyFont="1" applyFill="1" applyBorder="1" applyAlignment="1">
      <alignment horizontal="center" wrapText="1"/>
    </xf>
    <xf numFmtId="0" fontId="68" fillId="19" borderId="1" xfId="0" applyFont="1" applyFill="1" applyBorder="1" applyAlignment="1">
      <alignment horizontal="center" wrapText="1"/>
    </xf>
    <xf numFmtId="0" fontId="68" fillId="26" borderId="1" xfId="0" applyFont="1" applyFill="1" applyBorder="1" applyAlignment="1">
      <alignment horizontal="center" wrapText="1"/>
    </xf>
    <xf numFmtId="0" fontId="39" fillId="27" borderId="0" xfId="0" applyFont="1" applyFill="1"/>
    <xf numFmtId="0" fontId="43" fillId="27" borderId="0" xfId="0" applyFont="1" applyFill="1"/>
    <xf numFmtId="0" fontId="63" fillId="27" borderId="0" xfId="0" applyFont="1" applyFill="1"/>
    <xf numFmtId="3" fontId="39" fillId="27" borderId="0" xfId="0" applyNumberFormat="1" applyFont="1" applyFill="1"/>
    <xf numFmtId="10" fontId="40" fillId="27" borderId="0" xfId="1" applyNumberFormat="1" applyFont="1" applyFill="1"/>
    <xf numFmtId="10" fontId="43" fillId="27" borderId="0" xfId="1" applyNumberFormat="1" applyFont="1" applyFill="1"/>
    <xf numFmtId="10" fontId="49" fillId="27" borderId="0" xfId="1" applyNumberFormat="1" applyFont="1" applyFill="1"/>
    <xf numFmtId="3" fontId="40" fillId="27" borderId="0" xfId="0" applyNumberFormat="1" applyFont="1" applyFill="1"/>
    <xf numFmtId="0" fontId="40" fillId="27" borderId="0" xfId="0" applyFont="1" applyFill="1"/>
    <xf numFmtId="0" fontId="0" fillId="27" borderId="0" xfId="0" applyFill="1"/>
    <xf numFmtId="3" fontId="68" fillId="19" borderId="1" xfId="0" applyNumberFormat="1" applyFont="1" applyFill="1" applyBorder="1" applyAlignment="1">
      <alignment horizontal="center" wrapText="1"/>
    </xf>
    <xf numFmtId="0" fontId="4" fillId="0" borderId="0" xfId="0" applyFont="1"/>
    <xf numFmtId="0" fontId="43" fillId="0" borderId="0" xfId="0" applyFont="1"/>
    <xf numFmtId="171" fontId="50" fillId="9" borderId="0" xfId="4" applyNumberFormat="1" applyFont="1" applyFill="1"/>
    <xf numFmtId="171" fontId="50" fillId="10" borderId="0" xfId="4" applyNumberFormat="1" applyFont="1" applyFill="1"/>
    <xf numFmtId="171" fontId="50" fillId="7" borderId="0" xfId="4" applyNumberFormat="1" applyFont="1" applyFill="1"/>
    <xf numFmtId="171" fontId="50" fillId="0" borderId="0" xfId="4" applyNumberFormat="1" applyFont="1"/>
    <xf numFmtId="10" fontId="50" fillId="0" borderId="0" xfId="1" applyNumberFormat="1" applyFont="1"/>
    <xf numFmtId="165" fontId="50" fillId="9" borderId="0" xfId="0" applyNumberFormat="1" applyFont="1" applyFill="1"/>
    <xf numFmtId="165" fontId="50" fillId="10" borderId="0" xfId="0" applyNumberFormat="1" applyFont="1" applyFill="1"/>
    <xf numFmtId="165" fontId="50" fillId="7" borderId="0" xfId="0" applyNumberFormat="1" applyFont="1" applyFill="1"/>
    <xf numFmtId="0" fontId="50" fillId="9" borderId="0" xfId="0" applyFont="1" applyFill="1"/>
    <xf numFmtId="0" fontId="50" fillId="7" borderId="0" xfId="0" applyFont="1" applyFill="1"/>
    <xf numFmtId="168" fontId="50" fillId="9" borderId="0" xfId="3" applyNumberFormat="1" applyFont="1" applyFill="1"/>
    <xf numFmtId="168" fontId="50" fillId="10" borderId="0" xfId="3" applyNumberFormat="1" applyFont="1" applyFill="1"/>
    <xf numFmtId="168" fontId="50" fillId="7" borderId="0" xfId="3" applyNumberFormat="1" applyFont="1" applyFill="1"/>
    <xf numFmtId="168" fontId="69" fillId="7" borderId="0" xfId="3" applyNumberFormat="1" applyFont="1" applyFill="1"/>
    <xf numFmtId="3" fontId="50" fillId="10" borderId="0" xfId="0" applyNumberFormat="1" applyFont="1" applyFill="1"/>
    <xf numFmtId="165" fontId="50" fillId="0" borderId="0" xfId="0" applyNumberFormat="1" applyFont="1"/>
    <xf numFmtId="0" fontId="42" fillId="0" borderId="0" xfId="0" applyFont="1" applyFill="1"/>
    <xf numFmtId="0" fontId="43" fillId="0" borderId="0" xfId="0" applyFont="1" applyFill="1"/>
    <xf numFmtId="0" fontId="52" fillId="0" borderId="0" xfId="0" applyFont="1" applyFill="1"/>
    <xf numFmtId="3" fontId="43" fillId="0" borderId="0" xfId="0" applyNumberFormat="1" applyFont="1" applyFill="1"/>
    <xf numFmtId="165" fontId="43" fillId="0" borderId="0" xfId="0" applyNumberFormat="1" applyFont="1" applyFill="1"/>
    <xf numFmtId="10" fontId="43" fillId="0" borderId="0" xfId="1" applyNumberFormat="1" applyFont="1" applyFill="1"/>
    <xf numFmtId="168" fontId="43" fillId="0" borderId="0" xfId="3" applyNumberFormat="1" applyFont="1" applyFill="1"/>
    <xf numFmtId="165" fontId="43" fillId="0" borderId="0" xfId="3" applyNumberFormat="1" applyFont="1" applyFill="1"/>
    <xf numFmtId="3" fontId="42" fillId="0" borderId="0" xfId="0" applyNumberFormat="1" applyFont="1" applyFill="1"/>
    <xf numFmtId="165" fontId="44" fillId="0" borderId="0" xfId="0" applyNumberFormat="1" applyFont="1" applyFill="1"/>
    <xf numFmtId="2" fontId="45" fillId="0" borderId="0" xfId="0" applyNumberFormat="1" applyFont="1" applyFill="1"/>
    <xf numFmtId="165" fontId="46" fillId="0" borderId="0" xfId="0" applyNumberFormat="1" applyFont="1" applyFill="1"/>
    <xf numFmtId="0" fontId="39" fillId="0" borderId="0" xfId="0" applyFont="1" applyFill="1"/>
    <xf numFmtId="0" fontId="0" fillId="0" borderId="0" xfId="0" applyFill="1"/>
    <xf numFmtId="0" fontId="47" fillId="0" borderId="0" xfId="0" applyFont="1" applyFill="1"/>
    <xf numFmtId="171" fontId="43" fillId="0" borderId="0" xfId="4" applyNumberFormat="1" applyFont="1" applyFill="1"/>
    <xf numFmtId="0" fontId="40" fillId="0" borderId="0" xfId="0" applyFont="1" applyFill="1"/>
    <xf numFmtId="0" fontId="50" fillId="0" borderId="0" xfId="0" applyFont="1" applyFill="1"/>
    <xf numFmtId="171" fontId="50" fillId="0" borderId="0" xfId="4" applyNumberFormat="1" applyFont="1" applyFill="1"/>
    <xf numFmtId="10" fontId="50" fillId="0" borderId="0" xfId="1" applyNumberFormat="1" applyFont="1" applyFill="1"/>
    <xf numFmtId="165" fontId="50" fillId="0" borderId="0" xfId="0" applyNumberFormat="1" applyFont="1" applyFill="1"/>
    <xf numFmtId="168" fontId="50" fillId="0" borderId="0" xfId="3" applyNumberFormat="1" applyFont="1" applyFill="1"/>
    <xf numFmtId="168" fontId="69" fillId="0" borderId="0" xfId="3" applyNumberFormat="1" applyFont="1" applyFill="1"/>
    <xf numFmtId="3" fontId="50" fillId="0" borderId="0" xfId="0" applyNumberFormat="1" applyFont="1" applyFill="1"/>
    <xf numFmtId="165" fontId="39" fillId="0" borderId="0" xfId="0" applyNumberFormat="1" applyFont="1" applyFill="1"/>
    <xf numFmtId="3" fontId="0" fillId="0" borderId="0" xfId="0" applyNumberFormat="1" applyFill="1"/>
    <xf numFmtId="3" fontId="39" fillId="0" borderId="0" xfId="0" applyNumberFormat="1" applyFont="1" applyFill="1"/>
    <xf numFmtId="0" fontId="48" fillId="0" borderId="0" xfId="0" applyFont="1" applyFill="1"/>
  </cellXfs>
  <cellStyles count="9">
    <cellStyle name="60 % - Accent4" xfId="6" builtinId="44"/>
    <cellStyle name="Accent2" xfId="5" builtinId="33"/>
    <cellStyle name="Accent5" xfId="7" builtinId="45"/>
    <cellStyle name="Accent6" xfId="8" builtinId="49"/>
    <cellStyle name="Lien hypertexte" xfId="2" builtinId="8"/>
    <cellStyle name="Milliers" xfId="3" builtinId="3"/>
    <cellStyle name="Monétaire" xfId="4" builtinId="4"/>
    <cellStyle name="Normal" xfId="0" builtinId="0"/>
    <cellStyle name="Pourcentage" xfId="1" builtinId="5"/>
  </cellStyles>
  <dxfs count="127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FF0000"/>
        <name val="Arial Narrow"/>
        <family val="2"/>
        <scheme val="none"/>
      </font>
      <numFmt numFmtId="168" formatCode="_ * #,##0_)_ ;_ * \(#,##0\)_ ;_ * &quot;-&quot;??_)_ ;_ @_ "/>
      <fill>
        <patternFill patternType="solid">
          <fgColor indexed="64"/>
          <bgColor theme="4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 Narrow"/>
        <family val="2"/>
        <scheme val="none"/>
      </font>
      <numFmt numFmtId="168" formatCode="_ * #,##0_)_ ;_ * \(#,##0\)_ ;_ * &quot;-&quot;??_)_ ;_ @_ "/>
      <fill>
        <patternFill patternType="solid">
          <fgColor indexed="64"/>
          <bgColor theme="4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 Narrow"/>
        <family val="2"/>
        <scheme val="none"/>
      </font>
      <numFmt numFmtId="168" formatCode="_ * #,##0_)_ ;_ * \(#,##0\)_ ;_ * &quot;-&quot;??_)_ ;_ @_ "/>
      <fill>
        <patternFill patternType="solid">
          <fgColor indexed="64"/>
          <bgColor theme="3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 Narrow"/>
        <family val="2"/>
        <scheme val="none"/>
      </font>
      <numFmt numFmtId="168" formatCode="_ * #,##0_)_ ;_ * \(#,##0\)_ ;_ * &quot;-&quot;??_)_ ;_ @_ "/>
      <fill>
        <patternFill patternType="solid">
          <fgColor indexed="64"/>
          <bgColor theme="0" tint="-0.1499984740745262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 Narrow"/>
        <family val="2"/>
        <scheme val="none"/>
      </font>
      <fill>
        <patternFill patternType="solid">
          <fgColor indexed="64"/>
          <bgColor theme="4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 Narrow"/>
        <family val="2"/>
        <scheme val="none"/>
      </font>
      <fill>
        <patternFill patternType="solid">
          <fgColor indexed="64"/>
          <bgColor theme="4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 Narrow"/>
        <family val="2"/>
        <scheme val="none"/>
      </font>
      <numFmt numFmtId="165" formatCode="_-* #,##0\ [$€-40C]_-;\-* #,##0\ [$€-40C]_-;_-* &quot;-&quot;??\ [$€-40C]_-;_-@_-"/>
      <fill>
        <patternFill patternType="solid">
          <fgColor indexed="64"/>
          <bgColor theme="3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 Narrow"/>
        <family val="2"/>
        <scheme val="none"/>
      </font>
      <fill>
        <patternFill patternType="solid">
          <fgColor indexed="64"/>
          <bgColor theme="0" tint="-0.1499984740745262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 Narrow"/>
        <family val="2"/>
        <scheme val="none"/>
      </font>
      <numFmt numFmtId="14" formatCode="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 Narrow"/>
        <family val="2"/>
        <scheme val="none"/>
      </font>
      <numFmt numFmtId="165" formatCode="_-* #,##0\ [$€-40C]_-;\-* #,##0\ [$€-40C]_-;_-* &quot;-&quot;??\ [$€-40C]_-;_-@_-"/>
      <fill>
        <patternFill patternType="solid">
          <fgColor indexed="64"/>
          <bgColor theme="4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 Narrow"/>
        <family val="2"/>
        <scheme val="none"/>
      </font>
      <numFmt numFmtId="165" formatCode="_-* #,##0\ [$€-40C]_-;\-* #,##0\ [$€-40C]_-;_-* &quot;-&quot;??\ [$€-40C]_-;_-@_-"/>
      <fill>
        <patternFill patternType="solid">
          <fgColor indexed="64"/>
          <bgColor theme="4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 Narrow"/>
        <family val="2"/>
        <scheme val="none"/>
      </font>
      <numFmt numFmtId="165" formatCode="_-* #,##0\ [$€-40C]_-;\-* #,##0\ [$€-40C]_-;_-* &quot;-&quot;??\ [$€-40C]_-;_-@_-"/>
      <fill>
        <patternFill patternType="solid">
          <fgColor indexed="64"/>
          <bgColor theme="3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 Narrow"/>
        <family val="2"/>
        <scheme val="none"/>
      </font>
      <numFmt numFmtId="165" formatCode="_-* #,##0\ [$€-40C]_-;\-* #,##0\ [$€-40C]_-;_-* &quot;-&quot;??\ [$€-40C]_-;_-@_-"/>
      <fill>
        <patternFill patternType="solid">
          <fgColor indexed="64"/>
          <bgColor theme="0" tint="-0.1499984740745262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 Narrow"/>
        <family val="2"/>
        <scheme val="none"/>
      </font>
      <numFmt numFmtId="14" formatCode="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 Narrow"/>
        <family val="2"/>
        <scheme val="none"/>
      </font>
      <numFmt numFmtId="171" formatCode="_ * #,##0_)\ &quot;€&quot;_ ;_ * \(#,##0\)\ &quot;€&quot;_ ;_ * &quot;-&quot;??_)\ &quot;€&quot;_ ;_ @_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 Narrow"/>
        <family val="2"/>
        <scheme val="none"/>
      </font>
      <numFmt numFmtId="171" formatCode="_ * #,##0_)\ &quot;€&quot;_ ;_ * \(#,##0\)\ &quot;€&quot;_ ;_ * &quot;-&quot;??_)\ &quot;€&quot;_ ;_ @_ "/>
      <fill>
        <patternFill patternType="solid">
          <fgColor indexed="64"/>
          <bgColor theme="4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 Narrow"/>
        <family val="2"/>
        <scheme val="none"/>
      </font>
      <numFmt numFmtId="171" formatCode="_ * #,##0_)\ &quot;€&quot;_ ;_ * \(#,##0\)\ &quot;€&quot;_ ;_ * &quot;-&quot;??_)\ &quot;€&quot;_ ;_ @_ "/>
      <fill>
        <patternFill patternType="solid">
          <fgColor indexed="64"/>
          <bgColor theme="3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 Narrow"/>
        <family val="2"/>
        <scheme val="none"/>
      </font>
      <numFmt numFmtId="171" formatCode="_ * #,##0_)\ &quot;€&quot;_ ;_ * \(#,##0\)\ &quot;€&quot;_ ;_ * &quot;-&quot;??_)\ &quot;€&quot;_ ;_ @_ "/>
      <fill>
        <patternFill patternType="solid">
          <fgColor indexed="64"/>
          <bgColor theme="0" tint="-0.1499984740745262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 Narrow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Arial Narrow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B050"/>
        <name val="Arial Narrow"/>
        <family val="2"/>
        <scheme val="none"/>
      </font>
      <numFmt numFmtId="165" formatCode="_-* #,##0\ [$€-40C]_-;\-* #,##0\ [$€-40C]_-;_-* &quot;-&quot;??\ [$€-40C]_-;_-@_-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B050"/>
        <name val="Arial Narrow"/>
        <family val="2"/>
        <scheme val="none"/>
      </font>
      <numFmt numFmtId="165" formatCode="_-* #,##0\ [$€-40C]_-;\-* #,##0\ [$€-40C]_-;_-* &quot;-&quot;??\ [$€-40C]_-;_-@_-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B050"/>
        <name val="Arial Narrow"/>
        <family val="2"/>
        <scheme val="none"/>
      </font>
      <numFmt numFmtId="165" formatCode="_-* #,##0\ [$€-40C]_-;\-* #,##0\ [$€-40C]_-;_-* &quot;-&quot;??\ [$€-40C]_-;_-@_-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B050"/>
        <name val="Arial Narrow"/>
        <family val="2"/>
        <scheme val="none"/>
      </font>
      <numFmt numFmtId="165" formatCode="_-* #,##0\ [$€-40C]_-;\-* #,##0\ [$€-40C]_-;_-* &quot;-&quot;??\ [$€-40C]_-;_-@_-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rial Narrow"/>
        <family val="2"/>
        <scheme val="none"/>
      </font>
      <numFmt numFmtId="2" formatCode="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70C0"/>
        <name val="Arial Narrow"/>
        <family val="2"/>
        <scheme val="none"/>
      </font>
      <numFmt numFmtId="165" formatCode="_-* #,##0\ [$€-40C]_-;\-* #,##0\ [$€-40C]_-;_-* &quot;-&quot;??\ [$€-40C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FF0000"/>
        <name val="Arial Narrow"/>
        <family val="2"/>
        <scheme val="none"/>
      </font>
      <fill>
        <patternFill patternType="solid">
          <fgColor indexed="64"/>
          <bgColor theme="4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rgb="FFFF0000"/>
        <name val="Arial Narrow"/>
        <family val="2"/>
        <scheme val="none"/>
      </font>
      <numFmt numFmtId="3" formatCode="#,##0"/>
      <fill>
        <patternFill patternType="solid">
          <fgColor indexed="64"/>
          <bgColor theme="4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Arial Narrow"/>
        <family val="2"/>
        <scheme val="none"/>
      </font>
      <numFmt numFmtId="3" formatCode="#,##0"/>
      <fill>
        <patternFill patternType="solid">
          <fgColor indexed="64"/>
          <bgColor theme="3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FF0000"/>
        <name val="Arial Narrow"/>
        <family val="2"/>
        <scheme val="none"/>
      </font>
      <fill>
        <patternFill patternType="solid">
          <fgColor indexed="64"/>
          <bgColor theme="0" tint="-0.1499984740745262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Arial Narrow"/>
        <family val="2"/>
        <scheme val="none"/>
      </font>
      <numFmt numFmtId="3" formatCode="#,##0"/>
      <fill>
        <patternFill patternType="solid">
          <fgColor indexed="64"/>
          <bgColor theme="4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Arial Narrow"/>
        <family val="2"/>
        <scheme val="none"/>
      </font>
      <numFmt numFmtId="3" formatCode="#,##0"/>
      <fill>
        <patternFill patternType="solid">
          <fgColor indexed="64"/>
          <bgColor theme="4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Arial Narrow"/>
        <family val="2"/>
        <scheme val="none"/>
      </font>
      <numFmt numFmtId="3" formatCode="#,##0"/>
      <fill>
        <patternFill patternType="solid">
          <fgColor indexed="64"/>
          <bgColor theme="3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Arial Narrow"/>
        <family val="2"/>
        <scheme val="none"/>
      </font>
      <numFmt numFmtId="3" formatCode="#,##0"/>
      <fill>
        <patternFill patternType="solid">
          <fgColor indexed="64"/>
          <bgColor theme="0" tint="-0.1499984740745262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Arial Narrow"/>
        <family val="2"/>
        <scheme val="none"/>
      </font>
      <numFmt numFmtId="14" formatCode="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Arial Narrow"/>
        <family val="2"/>
        <scheme val="none"/>
      </font>
      <numFmt numFmtId="168" formatCode="_ * #,##0_)_ ;_ * \(#,##0\)_ ;_ * &quot;-&quot;??_)_ ;_ @_ "/>
      <fill>
        <patternFill patternType="solid">
          <fgColor indexed="64"/>
          <bgColor theme="4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Arial Narrow"/>
        <family val="2"/>
        <scheme val="none"/>
      </font>
      <numFmt numFmtId="168" formatCode="_ * #,##0_)_ ;_ * \(#,##0\)_ ;_ * &quot;-&quot;??_)_ ;_ @_ "/>
      <fill>
        <patternFill patternType="solid">
          <fgColor indexed="64"/>
          <bgColor theme="4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Arial Narrow"/>
        <family val="2"/>
        <scheme val="none"/>
      </font>
      <numFmt numFmtId="3" formatCode="#,##0"/>
      <fill>
        <patternFill patternType="solid">
          <fgColor indexed="64"/>
          <bgColor theme="3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Arial Narrow"/>
        <family val="2"/>
        <scheme val="none"/>
      </font>
      <numFmt numFmtId="3" formatCode="#,##0"/>
      <fill>
        <patternFill patternType="solid">
          <fgColor indexed="64"/>
          <bgColor theme="0" tint="-0.1499984740745262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Arial Narrow"/>
        <family val="2"/>
        <scheme val="none"/>
      </font>
      <numFmt numFmtId="14" formatCode="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Arial Narrow"/>
        <family val="2"/>
        <scheme val="none"/>
      </font>
      <numFmt numFmtId="3" formatCode="#,##0"/>
      <fill>
        <patternFill patternType="solid">
          <fgColor indexed="64"/>
          <bgColor theme="4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Arial Narrow"/>
        <family val="2"/>
        <scheme val="none"/>
      </font>
      <numFmt numFmtId="3" formatCode="#,##0"/>
      <fill>
        <patternFill patternType="solid">
          <fgColor indexed="64"/>
          <bgColor theme="3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Arial Narrow"/>
        <family val="2"/>
        <scheme val="none"/>
      </font>
      <numFmt numFmtId="3" formatCode="#,##0"/>
      <fill>
        <patternFill patternType="solid">
          <fgColor indexed="64"/>
          <bgColor theme="0" tint="-0.1499984740745262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Arial Narrow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 Narrow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alignment horizontal="center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theme="9" tint="-0.249977111117893"/>
        <name val="Calibri"/>
        <family val="2"/>
        <scheme val="minor"/>
      </font>
      <numFmt numFmtId="165" formatCode="_-* #,##0\ [$€-40C]_-;\-* #,##0\ [$€-40C]_-;_-* &quot;-&quot;??\ [$€-40C]_-;_-@_-"/>
    </dxf>
    <dxf>
      <font>
        <b/>
        <i/>
        <strike val="0"/>
        <condense val="0"/>
        <extend val="0"/>
        <outline val="0"/>
        <shadow val="0"/>
        <u val="none"/>
        <vertAlign val="baseline"/>
        <sz val="10"/>
        <color theme="4"/>
        <name val="Calibri"/>
        <family val="2"/>
        <scheme val="minor"/>
      </font>
      <numFmt numFmtId="1" formatCode="0"/>
    </dxf>
    <dxf>
      <font>
        <b/>
        <i/>
        <strike val="0"/>
        <condense val="0"/>
        <extend val="0"/>
        <outline val="0"/>
        <shadow val="0"/>
        <u val="none"/>
        <vertAlign val="baseline"/>
        <sz val="10"/>
        <color theme="4"/>
        <name val="Calibri"/>
        <family val="2"/>
        <scheme val="minor"/>
      </font>
      <numFmt numFmtId="1" formatCode="0"/>
    </dxf>
    <dxf>
      <font>
        <b/>
        <i/>
        <strike val="0"/>
        <condense val="0"/>
        <extend val="0"/>
        <outline val="0"/>
        <shadow val="0"/>
        <u val="none"/>
        <vertAlign val="baseline"/>
        <sz val="10"/>
        <color theme="1" tint="0.499984740745262"/>
        <name val="Calibri"/>
        <family val="2"/>
        <scheme val="minor"/>
      </font>
      <numFmt numFmtId="165" formatCode="_-* #,##0\ [$€-40C]_-;\-* #,##0\ [$€-40C]_-;_-* &quot;-&quot;??\ [$€-40C]_-;_-@_-"/>
    </dxf>
    <dxf>
      <font>
        <b/>
        <i/>
        <strike val="0"/>
        <condense val="0"/>
        <extend val="0"/>
        <outline val="0"/>
        <shadow val="0"/>
        <u val="none"/>
        <vertAlign val="baseline"/>
        <sz val="10"/>
        <color theme="1" tint="0.499984740745262"/>
        <name val="Calibri"/>
        <family val="2"/>
        <scheme val="minor"/>
      </font>
      <numFmt numFmtId="165" formatCode="_-* #,##0\ [$€-40C]_-;\-* #,##0\ [$€-40C]_-;_-* &quot;-&quot;??\ [$€-40C]_-;_-@_-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4"/>
        <name val="Calibri"/>
        <family val="2"/>
        <scheme val="minor"/>
      </font>
      <numFmt numFmtId="165" formatCode="_-* #,##0\ [$€-40C]_-;\-* #,##0\ [$€-40C]_-;_-* &quot;-&quot;??\ [$€-40C]_-;_-@_-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4"/>
        <name val="Calibri"/>
        <family val="2"/>
        <scheme val="minor"/>
      </font>
      <numFmt numFmtId="165" formatCode="_-* #,##0\ [$€-40C]_-;\-* #,##0\ [$€-40C]_-;_-* &quot;-&quot;??\ [$€-40C]_-;_-@_-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4"/>
        <name val="Calibri"/>
        <family val="2"/>
        <scheme val="minor"/>
      </font>
      <numFmt numFmtId="1" formatCode="0"/>
      <fill>
        <patternFill patternType="solid">
          <fgColor indexed="64"/>
          <bgColor theme="7" tint="0.79998168889431442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B050"/>
        <name val="Calibri"/>
        <family val="2"/>
        <scheme val="minor"/>
      </font>
      <numFmt numFmtId="165" formatCode="_-* #,##0\ [$€-40C]_-;\-* #,##0\ [$€-40C]_-;_-* &quot;-&quot;??\ [$€-40C]_-;_-@_-"/>
      <fill>
        <patternFill patternType="solid">
          <fgColor indexed="64"/>
          <bgColor theme="7" tint="0.79998168889431442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Calibri"/>
        <family val="2"/>
        <scheme val="minor"/>
      </font>
      <numFmt numFmtId="164" formatCode="0.0"/>
      <fill>
        <patternFill patternType="solid">
          <fgColor indexed="64"/>
          <bgColor theme="7" tint="0.79998168889431442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5" formatCode="_-* #,##0\ [$€-40C]_-;\-* #,##0\ [$€-40C]_-;_-* &quot;-&quot;??\ [$€-40C]_-;_-@_-"/>
      <fill>
        <patternFill patternType="solid">
          <fgColor indexed="64"/>
          <bgColor theme="7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FF0000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Calibri"/>
        <family val="2"/>
        <scheme val="minor"/>
      </font>
      <numFmt numFmtId="172" formatCode="#,##0\ &quot;€&quot;"/>
      <fill>
        <patternFill patternType="solid">
          <fgColor indexed="64"/>
          <bgColor theme="7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Calibri"/>
        <family val="2"/>
        <scheme val="minor"/>
      </font>
      <numFmt numFmtId="165" formatCode="_-* #,##0\ [$€-40C]_-;\-* #,##0\ [$€-40C]_-;_-* &quot;-&quot;??\ [$€-40C]_-;_-@_-"/>
      <fill>
        <patternFill patternType="solid">
          <fgColor indexed="64"/>
          <bgColor theme="7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</dxf>
    <dxf>
      <font>
        <strike val="0"/>
        <outline val="0"/>
        <shadow val="0"/>
        <u val="none"/>
        <vertAlign val="baseline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</dxf>
    <dxf>
      <font>
        <strike val="0"/>
        <outline val="0"/>
        <shadow val="0"/>
        <u val="none"/>
        <vertAlign val="baseline"/>
        <name val="Calibri"/>
        <family val="2"/>
        <scheme val="minor"/>
      </font>
    </dxf>
    <dxf>
      <font>
        <b/>
        <i/>
        <strike val="0"/>
        <condense val="0"/>
        <extend val="0"/>
        <outline val="0"/>
        <shadow val="0"/>
        <u val="none"/>
        <vertAlign val="baseline"/>
        <sz val="7"/>
        <color theme="1" tint="0.499984740745262"/>
        <name val="-webkit-standard"/>
        <scheme val="none"/>
      </font>
      <alignment horizontal="center" vertical="bottom" textRotation="0" wrapText="1" indent="0" justifyLastLine="0" shrinkToFit="0" readingOrder="0"/>
    </dxf>
    <dxf>
      <font>
        <color rgb="FF9C5700"/>
      </font>
      <fill>
        <patternFill>
          <bgColor rgb="FFFFEB9C"/>
        </patternFill>
      </fill>
    </dxf>
    <dxf>
      <font>
        <color rgb="FF002060"/>
      </font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4" formatCode="0.00%"/>
    </dxf>
    <dxf>
      <numFmt numFmtId="165" formatCode="_-* #,##0\ [$€-40C]_-;\-* #,##0\ [$€-40C]_-;_-* &quot;-&quot;??\ [$€-40C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8" formatCode="_ * #,##0_)_ ;_ * \(#,##0\)_ ;_ * &quot;-&quot;??_)_ ;_ @_ 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Calibri"/>
        <family val="2"/>
        <scheme val="minor"/>
      </font>
      <numFmt numFmtId="164" formatCode="0.0"/>
      <fill>
        <patternFill patternType="solid">
          <fgColor indexed="64"/>
          <bgColor theme="7" tint="0.79998168889431442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5" formatCode="_-* #,##0\ [$€-40C]_-;\-* #,##0\ [$€-40C]_-;_-* &quot;-&quot;??\ [$€-40C]_-;_-@_-"/>
      <fill>
        <patternFill patternType="solid">
          <fgColor indexed="64"/>
          <bgColor theme="7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FF0000"/>
        <name val="Calibri"/>
        <family val="2"/>
        <scheme val="minor"/>
      </font>
      <numFmt numFmtId="14" formatCode="0.00%"/>
      <fill>
        <patternFill patternType="solid">
          <fgColor indexed="64"/>
          <bgColor theme="7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FF0000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Calibri"/>
        <family val="2"/>
        <scheme val="minor"/>
      </font>
      <numFmt numFmtId="14" formatCode="0.00%"/>
      <fill>
        <patternFill patternType="solid">
          <fgColor indexed="64"/>
          <bgColor theme="7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Calibri"/>
        <family val="2"/>
        <scheme val="minor"/>
      </font>
      <numFmt numFmtId="168" formatCode="_ * #,##0_)_ ;_ * \(#,##0\)_ ;_ * &quot;-&quot;??_)_ ;_ @_ "/>
      <fill>
        <patternFill patternType="solid">
          <fgColor indexed="64"/>
          <bgColor theme="7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Calibri"/>
        <family val="2"/>
        <scheme val="minor"/>
      </font>
      <numFmt numFmtId="14" formatCode="0.00%"/>
      <fill>
        <patternFill patternType="solid">
          <fgColor indexed="64"/>
          <bgColor theme="7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Calibri"/>
        <family val="2"/>
        <scheme val="minor"/>
      </font>
      <numFmt numFmtId="165" formatCode="_-* #,##0\ [$€-40C]_-;\-* #,##0\ [$€-40C]_-;_-* &quot;-&quot;??\ [$€-40C]_-;_-@_-"/>
      <fill>
        <patternFill patternType="solid">
          <fgColor indexed="64"/>
          <bgColor theme="7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Calibri"/>
        <family val="2"/>
        <scheme val="minor"/>
      </font>
      <numFmt numFmtId="14" formatCode="0.00%"/>
      <fill>
        <patternFill patternType="solid">
          <fgColor indexed="64"/>
          <bgColor theme="7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Calibri"/>
        <family val="2"/>
        <scheme val="minor"/>
      </font>
      <numFmt numFmtId="165" formatCode="_-* #,##0\ [$€-40C]_-;\-* #,##0\ [$€-40C]_-;_-* &quot;-&quot;??\ [$€-40C]_-;_-@_-"/>
      <fill>
        <patternFill patternType="solid">
          <fgColor indexed="64"/>
          <bgColor theme="7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-webkit-standard"/>
        <scheme val="none"/>
      </font>
      <fill>
        <patternFill patternType="solid">
          <fgColor indexed="64"/>
          <bgColor theme="7" tint="0.79998168889431442"/>
        </patternFill>
      </fill>
    </dxf>
    <dxf>
      <fill>
        <patternFill patternType="solid">
          <fgColor indexed="64"/>
          <bgColor theme="7" tint="0.79998168889431442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-webkit-standard"/>
        <scheme val="none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4" formatCode="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5" formatCode="_-* #,##0\ [$€-40C]_-;\-* #,##0\ [$€-40C]_-;_-* &quot;-&quot;??\ [$€-40C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family val="2"/>
        <scheme val="minor"/>
      </font>
      <numFmt numFmtId="172" formatCode="#,##0\ &quot;€&quot;"/>
      <fill>
        <patternFill patternType="solid">
          <fgColor indexed="64"/>
          <bgColor theme="5"/>
        </patternFill>
      </fill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71" formatCode="_ * #,##0_)\ &quot;€&quot;_ ;_ * \(#,##0\)\ &quot;€&quot;_ ;_ * &quot;-&quot;??_)\ &quot;€&quot;_ ;_ @_ "/>
      <fill>
        <patternFill patternType="solid">
          <fgColor indexed="64"/>
          <bgColor theme="7" tint="0.39997558519241921"/>
        </patternFill>
      </fill>
    </dxf>
    <dxf>
      <numFmt numFmtId="172" formatCode="#,##0\ &quot;€&quot;"/>
    </dxf>
    <dxf>
      <numFmt numFmtId="1" formatCode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4" formatCode="0.0"/>
      <fill>
        <patternFill patternType="solid">
          <fgColor indexed="64"/>
          <bgColor theme="7" tint="0.79998168889431442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5" formatCode="_-* #,##0\ [$€-40C]_-;\-* #,##0\ [$€-40C]_-;_-* &quot;-&quot;??\ [$€-40C]_-;_-@_-"/>
      <fill>
        <patternFill patternType="solid">
          <fgColor indexed="64"/>
          <bgColor theme="7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FF0000"/>
        <name val="Calibri"/>
        <family val="2"/>
        <scheme val="minor"/>
      </font>
      <numFmt numFmtId="14" formatCode="0.00%"/>
      <fill>
        <patternFill patternType="solid">
          <fgColor indexed="64"/>
          <bgColor theme="7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FF0000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Calibri"/>
        <family val="2"/>
        <scheme val="minor"/>
      </font>
      <numFmt numFmtId="14" formatCode="0.00%"/>
      <fill>
        <patternFill patternType="solid">
          <fgColor indexed="64"/>
          <bgColor theme="7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Calibri"/>
        <family val="2"/>
        <scheme val="minor"/>
      </font>
      <numFmt numFmtId="165" formatCode="_-* #,##0\ [$€-40C]_-;\-* #,##0\ [$€-40C]_-;_-* &quot;-&quot;??\ [$€-40C]_-;_-@_-"/>
      <fill>
        <patternFill patternType="solid">
          <fgColor indexed="64"/>
          <bgColor theme="7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Calibri"/>
        <family val="2"/>
        <scheme val="minor"/>
      </font>
      <numFmt numFmtId="14" formatCode="0.00%"/>
      <fill>
        <patternFill patternType="solid">
          <fgColor indexed="64"/>
          <bgColor theme="7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Calibri"/>
        <family val="2"/>
        <scheme val="minor"/>
      </font>
      <numFmt numFmtId="165" formatCode="_-* #,##0\ [$€-40C]_-;\-* #,##0\ [$€-40C]_-;_-* &quot;-&quot;??\ [$€-40C]_-;_-@_-"/>
      <fill>
        <patternFill patternType="solid">
          <fgColor indexed="64"/>
          <bgColor theme="7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Calibri"/>
        <family val="2"/>
        <scheme val="minor"/>
      </font>
      <alignment horizontal="center" vertical="bottom" textRotation="0" wrapText="1" indent="0" justifyLastLine="0" shrinkToFit="0" readingOrder="0"/>
    </dxf>
    <dxf>
      <font>
        <color theme="5" tint="-0.499984740745262"/>
      </font>
      <fill>
        <patternFill>
          <bgColor theme="5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2060"/>
      </font>
      <fill>
        <patternFill>
          <bgColor theme="8" tint="0.39994506668294322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theme="9"/>
        </patternFill>
      </fill>
    </dxf>
    <dxf>
      <fill>
        <patternFill>
          <bgColor theme="7" tint="0.39994506668294322"/>
        </patternFill>
      </fill>
    </dxf>
    <dxf>
      <font>
        <color theme="1"/>
      </font>
      <fill>
        <patternFill>
          <fgColor auto="1"/>
          <bgColor theme="8" tint="0.39994506668294322"/>
        </patternFill>
      </fill>
    </dxf>
  </dxfs>
  <tableStyles count="0" defaultTableStyle="TableStyleMedium2" defaultPivotStyle="PivotStyleLight16"/>
  <colors>
    <mruColors>
      <color rgb="FFB293E9"/>
      <color rgb="FFFF847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fr-FR" sz="1600" b="0" i="0" baseline="0">
                <a:effectLst/>
              </a:rPr>
              <a:t>évolution de la Subvention pour charge de service public (</a:t>
            </a:r>
            <a:r>
              <a:rPr lang="fr-FR" sz="1600" b="1" i="0" baseline="0">
                <a:effectLst/>
              </a:rPr>
              <a:t>SCSP</a:t>
            </a:r>
            <a:r>
              <a:rPr lang="fr-FR" sz="2000" b="0" i="0" u="none" strike="noStrike" cap="none" normalizeH="0" baseline="0">
                <a:effectLst/>
              </a:rPr>
              <a:t> </a:t>
            </a:r>
            <a:r>
              <a:rPr lang="fr-FR" sz="1100" b="0" i="0" u="none" strike="noStrike" cap="none" normalizeH="0" baseline="0">
                <a:effectLst/>
              </a:rPr>
              <a:t>en euros constants de 2019</a:t>
            </a:r>
            <a:r>
              <a:rPr lang="fr-FR" sz="1600" b="0" i="0" baseline="0">
                <a:effectLst/>
              </a:rPr>
              <a:t>) </a:t>
            </a:r>
            <a:r>
              <a:rPr lang="fr-FR" sz="1600" b="1" i="0" baseline="0">
                <a:effectLst/>
              </a:rPr>
              <a:t>des universités les moins et les mieux dotées entre 2019 et 2021 </a:t>
            </a:r>
            <a:r>
              <a:rPr lang="fr-FR" sz="1600" b="0" i="0" baseline="0">
                <a:effectLst/>
              </a:rPr>
              <a:t>suivant leurs profils tertitaire (UTALLSHS et UTDEG), scientifique (USTS) ou pluridisciplinaires av</a:t>
            </a:r>
            <a:endParaRPr lang="fr-FR" sz="18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cap="none" spc="0" normalizeH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j-ea"/>
              <a:cs typeface="+mj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'Graphique pluriannuel'!$C$1:$C$2</c:f>
              <c:strCache>
                <c:ptCount val="2"/>
                <c:pt idx="0">
                  <c:v>2019</c:v>
                </c:pt>
                <c:pt idx="1">
                  <c:v>SCSP/étudiant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'Graphique pluriannuel'!$A$9:$B$16</c:f>
              <c:multiLvlStrCache>
                <c:ptCount val="8"/>
                <c:lvl>
                  <c:pt idx="0">
                    <c:v>Lyon3 Jean Moulin</c:v>
                  </c:pt>
                  <c:pt idx="1">
                    <c:v>Paris3 Sorbonne nouvelle</c:v>
                  </c:pt>
                  <c:pt idx="2">
                    <c:v>Angers</c:v>
                  </c:pt>
                  <c:pt idx="3">
                    <c:v>Paris5 Diderot puis Sorbonne Université</c:v>
                  </c:pt>
                  <c:pt idx="4">
                    <c:v>Nîmes</c:v>
                  </c:pt>
                  <c:pt idx="5">
                    <c:v>Corte Pascal Paoli* puis Evry Val d'Essonne</c:v>
                  </c:pt>
                  <c:pt idx="6">
                    <c:v>Lyon1 Claude Bernard</c:v>
                  </c:pt>
                  <c:pt idx="7">
                    <c:v>Toulouse3 Paul Sabatier</c:v>
                  </c:pt>
                </c:lvl>
                <c:lvl>
                  <c:pt idx="0">
                    <c:v>MIN  des UTALLSHS et UTDEG</c:v>
                  </c:pt>
                  <c:pt idx="1">
                    <c:v>MAX des UTALLSHS et UTDEG</c:v>
                  </c:pt>
                  <c:pt idx="2">
                    <c:v>MIN  des UPavS</c:v>
                  </c:pt>
                  <c:pt idx="3">
                    <c:v>MAX  des UPavS</c:v>
                  </c:pt>
                  <c:pt idx="4">
                    <c:v>MIN  des UPhs</c:v>
                  </c:pt>
                  <c:pt idx="5">
                    <c:v>MAX  des UPhs</c:v>
                  </c:pt>
                  <c:pt idx="6">
                    <c:v>MIN  des USTS</c:v>
                  </c:pt>
                  <c:pt idx="7">
                    <c:v>MAX  des USTS</c:v>
                  </c:pt>
                </c:lvl>
              </c:multiLvlStrCache>
            </c:multiLvlStrRef>
          </c:cat>
          <c:val>
            <c:numRef>
              <c:f>'Graphique pluriannuel'!$C$9:$C$16</c:f>
              <c:numCache>
                <c:formatCode>_-* #,##0\ [$€-40C]_-;\-* #,##0\ [$€-40C]_-;_-* "-"??\ [$€-40C]_-;_-@_-</c:formatCode>
                <c:ptCount val="8"/>
                <c:pt idx="0">
                  <c:v>3329.1097088088968</c:v>
                </c:pt>
                <c:pt idx="1">
                  <c:v>5856.2659554673446</c:v>
                </c:pt>
                <c:pt idx="2">
                  <c:v>5430.3182509010376</c:v>
                </c:pt>
                <c:pt idx="3">
                  <c:v>10629.658577785101</c:v>
                </c:pt>
                <c:pt idx="4">
                  <c:v>4195.5297513321493</c:v>
                </c:pt>
                <c:pt idx="5">
                  <c:v>9518.8689308777812</c:v>
                </c:pt>
                <c:pt idx="6">
                  <c:v>7356.177715228574</c:v>
                </c:pt>
                <c:pt idx="7">
                  <c:v>9810.9085638120632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3E-174B-AFD2-243330B544E6}"/>
            </c:ext>
          </c:extLst>
        </c:ser>
        <c:ser>
          <c:idx val="1"/>
          <c:order val="1"/>
          <c:tx>
            <c:strRef>
              <c:f>'Graphique pluriannuel'!$F$1:$F$2</c:f>
              <c:strCache>
                <c:ptCount val="2"/>
                <c:pt idx="0">
                  <c:v>2020</c:v>
                </c:pt>
                <c:pt idx="1">
                  <c:v>SCSP/étudiant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'Graphique pluriannuel'!$A$9:$B$16</c:f>
              <c:multiLvlStrCache>
                <c:ptCount val="8"/>
                <c:lvl>
                  <c:pt idx="0">
                    <c:v>Lyon3 Jean Moulin</c:v>
                  </c:pt>
                  <c:pt idx="1">
                    <c:v>Paris3 Sorbonne nouvelle</c:v>
                  </c:pt>
                  <c:pt idx="2">
                    <c:v>Angers</c:v>
                  </c:pt>
                  <c:pt idx="3">
                    <c:v>Paris5 Diderot puis Sorbonne Université</c:v>
                  </c:pt>
                  <c:pt idx="4">
                    <c:v>Nîmes</c:v>
                  </c:pt>
                  <c:pt idx="5">
                    <c:v>Corte Pascal Paoli* puis Evry Val d'Essonne</c:v>
                  </c:pt>
                  <c:pt idx="6">
                    <c:v>Lyon1 Claude Bernard</c:v>
                  </c:pt>
                  <c:pt idx="7">
                    <c:v>Toulouse3 Paul Sabatier</c:v>
                  </c:pt>
                </c:lvl>
                <c:lvl>
                  <c:pt idx="0">
                    <c:v>MIN  des UTALLSHS et UTDEG</c:v>
                  </c:pt>
                  <c:pt idx="1">
                    <c:v>MAX des UTALLSHS et UTDEG</c:v>
                  </c:pt>
                  <c:pt idx="2">
                    <c:v>MIN  des UPavS</c:v>
                  </c:pt>
                  <c:pt idx="3">
                    <c:v>MAX  des UPavS</c:v>
                  </c:pt>
                  <c:pt idx="4">
                    <c:v>MIN  des UPhs</c:v>
                  </c:pt>
                  <c:pt idx="5">
                    <c:v>MAX  des UPhs</c:v>
                  </c:pt>
                  <c:pt idx="6">
                    <c:v>MIN  des USTS</c:v>
                  </c:pt>
                  <c:pt idx="7">
                    <c:v>MAX  des USTS</c:v>
                  </c:pt>
                </c:lvl>
              </c:multiLvlStrCache>
            </c:multiLvlStrRef>
          </c:cat>
          <c:val>
            <c:numRef>
              <c:f>'Graphique pluriannuel'!$F$9:$F$16</c:f>
              <c:numCache>
                <c:formatCode>_-* #,##0\ [$€-40C]_-;\-* #,##0\ [$€-40C]_-;_-* "-"??\ [$€-40C]_-;_-@_-</c:formatCode>
                <c:ptCount val="8"/>
                <c:pt idx="0">
                  <c:v>3571.1982925175485</c:v>
                </c:pt>
                <c:pt idx="1">
                  <c:v>5843.0797159844742</c:v>
                </c:pt>
                <c:pt idx="2">
                  <c:v>4961.4685461741446</c:v>
                </c:pt>
                <c:pt idx="3">
                  <c:v>9405.3346771149481</c:v>
                </c:pt>
                <c:pt idx="4">
                  <c:v>3908.3288093465681</c:v>
                </c:pt>
                <c:pt idx="5">
                  <c:v>8663.376408154505</c:v>
                </c:pt>
                <c:pt idx="6">
                  <c:v>6520.0226456542514</c:v>
                </c:pt>
                <c:pt idx="7">
                  <c:v>8706.1624256684172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33E-174B-AFD2-243330B544E6}"/>
            </c:ext>
          </c:extLst>
        </c:ser>
        <c:ser>
          <c:idx val="2"/>
          <c:order val="2"/>
          <c:tx>
            <c:strRef>
              <c:f>'Graphique pluriannuel'!$I$1:$I$2</c:f>
              <c:strCache>
                <c:ptCount val="2"/>
                <c:pt idx="0">
                  <c:v>2021</c:v>
                </c:pt>
                <c:pt idx="1">
                  <c:v>SCSP/étudiant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'Graphique pluriannuel'!$A$9:$B$16</c:f>
              <c:multiLvlStrCache>
                <c:ptCount val="8"/>
                <c:lvl>
                  <c:pt idx="0">
                    <c:v>Lyon3 Jean Moulin</c:v>
                  </c:pt>
                  <c:pt idx="1">
                    <c:v>Paris3 Sorbonne nouvelle</c:v>
                  </c:pt>
                  <c:pt idx="2">
                    <c:v>Angers</c:v>
                  </c:pt>
                  <c:pt idx="3">
                    <c:v>Paris5 Diderot puis Sorbonne Université</c:v>
                  </c:pt>
                  <c:pt idx="4">
                    <c:v>Nîmes</c:v>
                  </c:pt>
                  <c:pt idx="5">
                    <c:v>Corte Pascal Paoli* puis Evry Val d'Essonne</c:v>
                  </c:pt>
                  <c:pt idx="6">
                    <c:v>Lyon1 Claude Bernard</c:v>
                  </c:pt>
                  <c:pt idx="7">
                    <c:v>Toulouse3 Paul Sabatier</c:v>
                  </c:pt>
                </c:lvl>
                <c:lvl>
                  <c:pt idx="0">
                    <c:v>MIN  des UTALLSHS et UTDEG</c:v>
                  </c:pt>
                  <c:pt idx="1">
                    <c:v>MAX des UTALLSHS et UTDEG</c:v>
                  </c:pt>
                  <c:pt idx="2">
                    <c:v>MIN  des UPavS</c:v>
                  </c:pt>
                  <c:pt idx="3">
                    <c:v>MAX  des UPavS</c:v>
                  </c:pt>
                  <c:pt idx="4">
                    <c:v>MIN  des UPhs</c:v>
                  </c:pt>
                  <c:pt idx="5">
                    <c:v>MAX  des UPhs</c:v>
                  </c:pt>
                  <c:pt idx="6">
                    <c:v>MIN  des USTS</c:v>
                  </c:pt>
                  <c:pt idx="7">
                    <c:v>MAX  des USTS</c:v>
                  </c:pt>
                </c:lvl>
              </c:multiLvlStrCache>
            </c:multiLvlStrRef>
          </c:cat>
          <c:val>
            <c:numRef>
              <c:f>'Graphique pluriannuel'!$I$9:$I$16</c:f>
              <c:numCache>
                <c:formatCode>_-* #,##0\ [$€-40C]_-;\-* #,##0\ [$€-40C]_-;_-* "-"??\ [$€-40C]_-;_-@_-</c:formatCode>
                <c:ptCount val="8"/>
                <c:pt idx="0">
                  <c:v>3589.2958972203478</c:v>
                </c:pt>
                <c:pt idx="1">
                  <c:v>6008.2930512853309</c:v>
                </c:pt>
                <c:pt idx="2">
                  <c:v>4834.4859874947233</c:v>
                </c:pt>
                <c:pt idx="3">
                  <c:v>9371.5238298268014</c:v>
                </c:pt>
                <c:pt idx="4">
                  <c:v>3660.6678728388224</c:v>
                </c:pt>
                <c:pt idx="5">
                  <c:v>10020.603548060702</c:v>
                </c:pt>
                <c:pt idx="6">
                  <c:v>6763.9464449522757</c:v>
                </c:pt>
                <c:pt idx="7">
                  <c:v>8913.0168627140847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33E-174B-AFD2-243330B544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99"/>
        <c:axId val="1230719231"/>
        <c:axId val="1230819023"/>
      </c:barChart>
      <c:catAx>
        <c:axId val="12307192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30819023"/>
        <c:crosses val="autoZero"/>
        <c:auto val="1"/>
        <c:lblAlgn val="ctr"/>
        <c:lblOffset val="100"/>
        <c:noMultiLvlLbl val="0"/>
      </c:catAx>
      <c:valAx>
        <c:axId val="12308190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_-* #,##0\ [$€-40C]_-;\-* #,##0\ [$€-40C]_-;_-* &quot;-&quot;??\ [$€-40C]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3071923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5"/>
          <c:order val="0"/>
          <c:tx>
            <c:strRef>
              <c:f>'2019 CNESER'!$L$3</c:f>
              <c:strCache>
                <c:ptCount val="1"/>
                <c:pt idx="0">
                  <c:v>VARIATION DES ETPT CORIGÉE PAR LA VARIABLE DÉMOGRAPHIQUE / MOYENNE DE SON TYPE D'UNIVERSITÉ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'2019 CNESER'!$C$4:$C$72</c:f>
              <c:strCache>
                <c:ptCount val="69"/>
                <c:pt idx="0">
                  <c:v>ANGERS</c:v>
                </c:pt>
                <c:pt idx="1">
                  <c:v>AMIENS</c:v>
                </c:pt>
                <c:pt idx="2">
                  <c:v>SAINT-ETIENNE</c:v>
                </c:pt>
                <c:pt idx="3">
                  <c:v>GUYANE</c:v>
                </c:pt>
                <c:pt idx="4">
                  <c:v>PARIS XII Paris-Est Créteil</c:v>
                </c:pt>
                <c:pt idx="5">
                  <c:v>ROUEN</c:v>
                </c:pt>
                <c:pt idx="6">
                  <c:v>NANTES</c:v>
                </c:pt>
                <c:pt idx="7">
                  <c:v>TOURS</c:v>
                </c:pt>
                <c:pt idx="8">
                  <c:v>BRETAGNE OCCIDENTALE</c:v>
                </c:pt>
                <c:pt idx="9">
                  <c:v>LA REUNION</c:v>
                </c:pt>
                <c:pt idx="10">
                  <c:v>STRASBOURG</c:v>
                </c:pt>
                <c:pt idx="11">
                  <c:v>CAEN</c:v>
                </c:pt>
                <c:pt idx="12">
                  <c:v>LILLE</c:v>
                </c:pt>
                <c:pt idx="13">
                  <c:v>BORDEAUX</c:v>
                </c:pt>
                <c:pt idx="14">
                  <c:v>DIJON</c:v>
                </c:pt>
                <c:pt idx="15">
                  <c:v>PARIS XIII Sorbonne Paris-Nord</c:v>
                </c:pt>
                <c:pt idx="16">
                  <c:v>MONTPELLIER</c:v>
                </c:pt>
                <c:pt idx="17">
                  <c:v>REIMS</c:v>
                </c:pt>
                <c:pt idx="18">
                  <c:v>LIMOGES</c:v>
                </c:pt>
                <c:pt idx="19">
                  <c:v>CLERMONT AUVERGNE</c:v>
                </c:pt>
                <c:pt idx="20">
                  <c:v>VERSAILLES-SAINT-QUENTIN</c:v>
                </c:pt>
                <c:pt idx="21">
                  <c:v>NICE COTE D'AZUR</c:v>
                </c:pt>
                <c:pt idx="22">
                  <c:v>POITIERS</c:v>
                </c:pt>
                <c:pt idx="23">
                  <c:v>BESANCON</c:v>
                </c:pt>
                <c:pt idx="24">
                  <c:v>AIX-MARSEILLE</c:v>
                </c:pt>
                <c:pt idx="25">
                  <c:v>ANTILLES</c:v>
                </c:pt>
                <c:pt idx="26">
                  <c:v>LORRAINE</c:v>
                </c:pt>
                <c:pt idx="27">
                  <c:v>GRENOBLE ALPES</c:v>
                </c:pt>
                <c:pt idx="28">
                  <c:v>SORBONNE UNIVERSITE</c:v>
                </c:pt>
                <c:pt idx="29">
                  <c:v>PARIS VII Diderot</c:v>
                </c:pt>
                <c:pt idx="30">
                  <c:v>NIMES</c:v>
                </c:pt>
                <c:pt idx="31">
                  <c:v>CERGY-PONTOISE</c:v>
                </c:pt>
                <c:pt idx="32">
                  <c:v>MARNE-LA-VALLEE Gustave Eiffel</c:v>
                </c:pt>
                <c:pt idx="33">
                  <c:v>PERPIGNAN</c:v>
                </c:pt>
                <c:pt idx="34">
                  <c:v>CHAMBERY Savoie Mont-Blanc</c:v>
                </c:pt>
                <c:pt idx="35">
                  <c:v>AVIGNON</c:v>
                </c:pt>
                <c:pt idx="36">
                  <c:v>BRETAGNE SUD</c:v>
                </c:pt>
                <c:pt idx="37">
                  <c:v>ARTOIS</c:v>
                </c:pt>
                <c:pt idx="38">
                  <c:v>VALENCIENNES Polytechnique des Hauts-de-France</c:v>
                </c:pt>
                <c:pt idx="39">
                  <c:v>TOULON</c:v>
                </c:pt>
                <c:pt idx="40">
                  <c:v>LA ROCHELLE</c:v>
                </c:pt>
                <c:pt idx="41">
                  <c:v>MULHOUSE</c:v>
                </c:pt>
                <c:pt idx="42">
                  <c:v>PAU</c:v>
                </c:pt>
                <c:pt idx="43">
                  <c:v>ORLEANS</c:v>
                </c:pt>
                <c:pt idx="44">
                  <c:v>LE MANS</c:v>
                </c:pt>
                <c:pt idx="45">
                  <c:v>EVRY-VAL D'ESSONNE</c:v>
                </c:pt>
                <c:pt idx="46">
                  <c:v>LITTORAL</c:v>
                </c:pt>
                <c:pt idx="47">
                  <c:v>LE HAVRE</c:v>
                </c:pt>
                <c:pt idx="48">
                  <c:v>NOUVELLE-CALEDONIE</c:v>
                </c:pt>
                <c:pt idx="49">
                  <c:v>CORTE</c:v>
                </c:pt>
                <c:pt idx="50">
                  <c:v>POLYNESIE FRANCAISE</c:v>
                </c:pt>
                <c:pt idx="51">
                  <c:v>LYON I Claude Bernard</c:v>
                </c:pt>
                <c:pt idx="52">
                  <c:v>PARIS V Descartes</c:v>
                </c:pt>
                <c:pt idx="53">
                  <c:v>RENNES I</c:v>
                </c:pt>
                <c:pt idx="54">
                  <c:v>PARIS XI Paris Sud + Saclay</c:v>
                </c:pt>
                <c:pt idx="55">
                  <c:v>TOULOUSE III Paul sabatier</c:v>
                </c:pt>
                <c:pt idx="56">
                  <c:v>LYON II Louis Lumière</c:v>
                </c:pt>
                <c:pt idx="57">
                  <c:v>RENNES II</c:v>
                </c:pt>
                <c:pt idx="58">
                  <c:v>MONTPELLIER III Paul valéry</c:v>
                </c:pt>
                <c:pt idx="59">
                  <c:v>BORDEAUX III montaigne</c:v>
                </c:pt>
                <c:pt idx="60">
                  <c:v>PARIS VIII Vincennes- Saint Denis</c:v>
                </c:pt>
                <c:pt idx="61">
                  <c:v>TOULOUSE II Jean Jaures</c:v>
                </c:pt>
                <c:pt idx="62">
                  <c:v>PARIS X Nanterre</c:v>
                </c:pt>
                <c:pt idx="63">
                  <c:v>PARIS III Sorbonne Nouvelle</c:v>
                </c:pt>
                <c:pt idx="64">
                  <c:v>LYON III Jean Moulin</c:v>
                </c:pt>
                <c:pt idx="65">
                  <c:v>PARIS II Panthéon-Assas</c:v>
                </c:pt>
                <c:pt idx="66">
                  <c:v>TOULOUSE I Capitol</c:v>
                </c:pt>
                <c:pt idx="67">
                  <c:v>PARIS I panthéon-Sorbonne</c:v>
                </c:pt>
                <c:pt idx="68">
                  <c:v>PARIS DAUPHINE UPSL</c:v>
                </c:pt>
              </c:strCache>
            </c:strRef>
          </c:cat>
          <c:val>
            <c:numRef>
              <c:f>'2019 CNESER'!$L$4:$L$72</c:f>
              <c:numCache>
                <c:formatCode>0</c:formatCode>
                <c:ptCount val="69"/>
                <c:pt idx="0">
                  <c:v>624.3786364700386</c:v>
                </c:pt>
                <c:pt idx="1">
                  <c:v>605.09342776549147</c:v>
                </c:pt>
                <c:pt idx="2">
                  <c:v>389.31870105188659</c:v>
                </c:pt>
                <c:pt idx="3">
                  <c:v>96.879780708177066</c:v>
                </c:pt>
                <c:pt idx="4">
                  <c:v>609.81905859290237</c:v>
                </c:pt>
                <c:pt idx="5">
                  <c:v>474.26329983100914</c:v>
                </c:pt>
                <c:pt idx="6">
                  <c:v>401.94197253614675</c:v>
                </c:pt>
                <c:pt idx="7">
                  <c:v>279.83555678595712</c:v>
                </c:pt>
                <c:pt idx="8">
                  <c:v>240.20696440729944</c:v>
                </c:pt>
                <c:pt idx="9">
                  <c:v>427.62935769814135</c:v>
                </c:pt>
                <c:pt idx="10">
                  <c:v>180.63983808575995</c:v>
                </c:pt>
                <c:pt idx="11">
                  <c:v>183.52322947719904</c:v>
                </c:pt>
                <c:pt idx="12">
                  <c:v>397.04178473358661</c:v>
                </c:pt>
                <c:pt idx="13">
                  <c:v>211.22434656573478</c:v>
                </c:pt>
                <c:pt idx="14">
                  <c:v>151.84099632625248</c:v>
                </c:pt>
                <c:pt idx="15">
                  <c:v>41.784104015041066</c:v>
                </c:pt>
                <c:pt idx="16">
                  <c:v>608.52836829248736</c:v>
                </c:pt>
                <c:pt idx="17">
                  <c:v>-8.0682598708576734</c:v>
                </c:pt>
                <c:pt idx="18">
                  <c:v>-3.9148357609424238</c:v>
                </c:pt>
                <c:pt idx="19">
                  <c:v>8.245518979602366</c:v>
                </c:pt>
                <c:pt idx="20">
                  <c:v>14.616290616178276</c:v>
                </c:pt>
                <c:pt idx="21">
                  <c:v>-5.1274695181587049</c:v>
                </c:pt>
                <c:pt idx="22">
                  <c:v>-95.654011460552738</c:v>
                </c:pt>
                <c:pt idx="23">
                  <c:v>-272.7542618995958</c:v>
                </c:pt>
                <c:pt idx="24">
                  <c:v>-607.56414414087067</c:v>
                </c:pt>
                <c:pt idx="25">
                  <c:v>40.208426637821049</c:v>
                </c:pt>
                <c:pt idx="26">
                  <c:v>-512.86455769130043</c:v>
                </c:pt>
                <c:pt idx="27">
                  <c:v>-622.10832691113455</c:v>
                </c:pt>
                <c:pt idx="28">
                  <c:v>-2119.7108749119516</c:v>
                </c:pt>
                <c:pt idx="29">
                  <c:v>-1030.6106533327206</c:v>
                </c:pt>
                <c:pt idx="30">
                  <c:v>193.75279287476934</c:v>
                </c:pt>
                <c:pt idx="31">
                  <c:v>319.73118178536242</c:v>
                </c:pt>
                <c:pt idx="32">
                  <c:v>82.931274757555002</c:v>
                </c:pt>
                <c:pt idx="33">
                  <c:v>46.872875362863397</c:v>
                </c:pt>
                <c:pt idx="34">
                  <c:v>148.42653948396492</c:v>
                </c:pt>
                <c:pt idx="35">
                  <c:v>-3.2697776085376518</c:v>
                </c:pt>
                <c:pt idx="36">
                  <c:v>-1.2706727131562729</c:v>
                </c:pt>
                <c:pt idx="37">
                  <c:v>-59.386274732828724</c:v>
                </c:pt>
                <c:pt idx="38">
                  <c:v>-102.17698344798282</c:v>
                </c:pt>
                <c:pt idx="39">
                  <c:v>20.317910499428649</c:v>
                </c:pt>
                <c:pt idx="40">
                  <c:v>-2.394934004579568</c:v>
                </c:pt>
                <c:pt idx="41">
                  <c:v>-23.155248725341494</c:v>
                </c:pt>
                <c:pt idx="42">
                  <c:v>-12.672594468154784</c:v>
                </c:pt>
                <c:pt idx="43">
                  <c:v>-108.45076182799176</c:v>
                </c:pt>
                <c:pt idx="44">
                  <c:v>-41.409443600991267</c:v>
                </c:pt>
                <c:pt idx="45">
                  <c:v>-100.4679616835881</c:v>
                </c:pt>
                <c:pt idx="46">
                  <c:v>-104.44951065965768</c:v>
                </c:pt>
                <c:pt idx="47">
                  <c:v>-67.384484523591823</c:v>
                </c:pt>
                <c:pt idx="48">
                  <c:v>34.080851190093426</c:v>
                </c:pt>
                <c:pt idx="49">
                  <c:v>-210.77566007783958</c:v>
                </c:pt>
                <c:pt idx="50">
                  <c:v>37.894011700649287</c:v>
                </c:pt>
                <c:pt idx="51">
                  <c:v>508.65516265390124</c:v>
                </c:pt>
                <c:pt idx="52">
                  <c:v>-247.86985720805933</c:v>
                </c:pt>
                <c:pt idx="53">
                  <c:v>-80.621050558997467</c:v>
                </c:pt>
                <c:pt idx="54">
                  <c:v>-164.1391372298076</c:v>
                </c:pt>
                <c:pt idx="55">
                  <c:v>-557.03194624760818</c:v>
                </c:pt>
                <c:pt idx="56">
                  <c:v>135.74488967954608</c:v>
                </c:pt>
                <c:pt idx="57">
                  <c:v>37.280545644048061</c:v>
                </c:pt>
                <c:pt idx="58">
                  <c:v>-40.832670742927348</c:v>
                </c:pt>
                <c:pt idx="59">
                  <c:v>-34.656181781762825</c:v>
                </c:pt>
                <c:pt idx="60">
                  <c:v>-80.143343597543435</c:v>
                </c:pt>
                <c:pt idx="61">
                  <c:v>-228.12457604964857</c:v>
                </c:pt>
                <c:pt idx="62">
                  <c:v>-318.13934429012306</c:v>
                </c:pt>
                <c:pt idx="63">
                  <c:v>-179.45873549911562</c:v>
                </c:pt>
                <c:pt idx="64">
                  <c:v>478.51553720747847</c:v>
                </c:pt>
                <c:pt idx="65">
                  <c:v>145.67872796222036</c:v>
                </c:pt>
                <c:pt idx="66">
                  <c:v>161.41144996961475</c:v>
                </c:pt>
                <c:pt idx="67">
                  <c:v>19.098196916662801</c:v>
                </c:pt>
                <c:pt idx="68">
                  <c:v>-96.374495418450465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EB-9342-8025-4ECDD411FC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90705056"/>
        <c:axId val="851943024"/>
      </c:barChart>
      <c:catAx>
        <c:axId val="8907050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51943024"/>
        <c:crosses val="autoZero"/>
        <c:auto val="1"/>
        <c:lblAlgn val="ctr"/>
        <c:lblOffset val="100"/>
        <c:noMultiLvlLbl val="0"/>
      </c:catAx>
      <c:valAx>
        <c:axId val="851943024"/>
        <c:scaling>
          <c:orientation val="minMax"/>
          <c:max val="800"/>
          <c:min val="-24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90705056"/>
        <c:crosses val="autoZero"/>
        <c:crossBetween val="between"/>
        <c:majorUnit val="2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0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SCSP 2021 par élève-ingénieur et ETPT pour 100 élèves-ingénieurs</a:t>
            </a:r>
          </a:p>
        </c:rich>
      </c:tx>
      <c:layout>
        <c:manualLayout>
          <c:xMode val="edge"/>
          <c:yMode val="edge"/>
          <c:x val="0.12625607140431555"/>
          <c:y val="1.984831511247587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018727034120735"/>
          <c:y val="0.17171296296296296"/>
          <c:w val="0.79997681539807519"/>
          <c:h val="0.43848024205307667"/>
        </c:manualLayout>
      </c:layout>
      <c:barChart>
        <c:barDir val="col"/>
        <c:grouping val="clustered"/>
        <c:varyColors val="0"/>
        <c:ser>
          <c:idx val="5"/>
          <c:order val="0"/>
          <c:tx>
            <c:strRef>
              <c:f>'[1]2019-2021 GE'!$V$2</c:f>
              <c:strCache>
                <c:ptCount val="1"/>
                <c:pt idx="0">
                  <c:v>SCSP/étudiant en 2021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'[1]2019-2021 GE'!$C$3:$C$26</c:f>
              <c:strCache>
                <c:ptCount val="24"/>
                <c:pt idx="0">
                  <c:v>CENTRALE SUPELEC</c:v>
                </c:pt>
                <c:pt idx="1">
                  <c:v>EC LILLE</c:v>
                </c:pt>
                <c:pt idx="2">
                  <c:v>EC LYON</c:v>
                </c:pt>
                <c:pt idx="3">
                  <c:v>EC MARSEILLE</c:v>
                </c:pt>
                <c:pt idx="4">
                  <c:v>EC NANTES</c:v>
                </c:pt>
                <c:pt idx="5">
                  <c:v>ENI TARBES</c:v>
                </c:pt>
                <c:pt idx="6">
                  <c:v>ENSAM</c:v>
                </c:pt>
                <c:pt idx="7">
                  <c:v>ENSC MONTPELLIER</c:v>
                </c:pt>
                <c:pt idx="8">
                  <c:v>ENSC PARIS</c:v>
                </c:pt>
                <c:pt idx="9">
                  <c:v>ENSC RENNES</c:v>
                </c:pt>
                <c:pt idx="10">
                  <c:v>ENSI CAEN</c:v>
                </c:pt>
                <c:pt idx="11">
                  <c:v>ENSIIE</c:v>
                </c:pt>
                <c:pt idx="12">
                  <c:v>INP GRENOBLE</c:v>
                </c:pt>
                <c:pt idx="13">
                  <c:v>INP TOULOUSE</c:v>
                </c:pt>
                <c:pt idx="14">
                  <c:v>INSA CENTRE VAL DE LOIRE</c:v>
                </c:pt>
                <c:pt idx="15">
                  <c:v>INSA DE RENNES</c:v>
                </c:pt>
                <c:pt idx="16">
                  <c:v>INSA DE ROUEN</c:v>
                </c:pt>
                <c:pt idx="17">
                  <c:v>INSA DE STRASBOURG</c:v>
                </c:pt>
                <c:pt idx="18">
                  <c:v>INSA DE TOULOUSE</c:v>
                </c:pt>
                <c:pt idx="19">
                  <c:v>ISAE-ENSMA POITIERS</c:v>
                </c:pt>
                <c:pt idx="20">
                  <c:v>INP CLERMONT (Sigma)</c:v>
                </c:pt>
                <c:pt idx="21">
                  <c:v>UT BELFORT-MONTBELIARD</c:v>
                </c:pt>
                <c:pt idx="22">
                  <c:v>UT COMPIEGNE</c:v>
                </c:pt>
                <c:pt idx="23">
                  <c:v>UT TROYES</c:v>
                </c:pt>
              </c:strCache>
            </c:strRef>
          </c:cat>
          <c:val>
            <c:numRef>
              <c:f>'[1]2019-2021 GE'!$V$3:$V$26</c:f>
              <c:numCache>
                <c:formatCode>General</c:formatCode>
                <c:ptCount val="24"/>
                <c:pt idx="0">
                  <c:v>10179.36515573563</c:v>
                </c:pt>
                <c:pt idx="1">
                  <c:v>12264.928638059702</c:v>
                </c:pt>
                <c:pt idx="2">
                  <c:v>12545.827953296703</c:v>
                </c:pt>
                <c:pt idx="3">
                  <c:v>12740.905627705628</c:v>
                </c:pt>
                <c:pt idx="4">
                  <c:v>9471.095197255574</c:v>
                </c:pt>
                <c:pt idx="5">
                  <c:v>11878.522146507667</c:v>
                </c:pt>
                <c:pt idx="6">
                  <c:v>12066.786292320396</c:v>
                </c:pt>
                <c:pt idx="7">
                  <c:v>19726.023454157781</c:v>
                </c:pt>
                <c:pt idx="8">
                  <c:v>20301.79801980198</c:v>
                </c:pt>
                <c:pt idx="9">
                  <c:v>14318.181636726547</c:v>
                </c:pt>
                <c:pt idx="10">
                  <c:v>15280.660804020101</c:v>
                </c:pt>
                <c:pt idx="11">
                  <c:v>10658.157303370786</c:v>
                </c:pt>
                <c:pt idx="12">
                  <c:v>10232.900551070101</c:v>
                </c:pt>
                <c:pt idx="13">
                  <c:v>14267.205241244183</c:v>
                </c:pt>
                <c:pt idx="14">
                  <c:v>8900.3704135119388</c:v>
                </c:pt>
                <c:pt idx="15">
                  <c:v>14872.660810151294</c:v>
                </c:pt>
                <c:pt idx="16">
                  <c:v>12138.11376953125</c:v>
                </c:pt>
                <c:pt idx="17">
                  <c:v>9147.98810703667</c:v>
                </c:pt>
                <c:pt idx="18">
                  <c:v>13333.799934512115</c:v>
                </c:pt>
                <c:pt idx="19">
                  <c:v>15493.01923076923</c:v>
                </c:pt>
                <c:pt idx="20">
                  <c:v>4323.7481385561669</c:v>
                </c:pt>
                <c:pt idx="21">
                  <c:v>11206.50193050193</c:v>
                </c:pt>
                <c:pt idx="22">
                  <c:v>11394.226356956624</c:v>
                </c:pt>
                <c:pt idx="23">
                  <c:v>7875.5270270270266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67-224B-8713-7AD2883117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4"/>
        <c:overlap val="-100"/>
        <c:axId val="1354151360"/>
        <c:axId val="1354152992"/>
      </c:barChart>
      <c:barChart>
        <c:barDir val="col"/>
        <c:grouping val="clustered"/>
        <c:varyColors val="0"/>
        <c:ser>
          <c:idx val="6"/>
          <c:order val="1"/>
          <c:tx>
            <c:strRef>
              <c:f>'[1]2019-2021 GE'!$W$2</c:f>
              <c:strCache>
                <c:ptCount val="1"/>
                <c:pt idx="0">
                  <c:v>ETPT/100 étudiants en 2020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'[1]2019-2021 GE'!$C$3:$C$26</c:f>
              <c:strCache>
                <c:ptCount val="24"/>
                <c:pt idx="0">
                  <c:v>CENTRALE SUPELEC</c:v>
                </c:pt>
                <c:pt idx="1">
                  <c:v>EC LILLE</c:v>
                </c:pt>
                <c:pt idx="2">
                  <c:v>EC LYON</c:v>
                </c:pt>
                <c:pt idx="3">
                  <c:v>EC MARSEILLE</c:v>
                </c:pt>
                <c:pt idx="4">
                  <c:v>EC NANTES</c:v>
                </c:pt>
                <c:pt idx="5">
                  <c:v>ENI TARBES</c:v>
                </c:pt>
                <c:pt idx="6">
                  <c:v>ENSAM</c:v>
                </c:pt>
                <c:pt idx="7">
                  <c:v>ENSC MONTPELLIER</c:v>
                </c:pt>
                <c:pt idx="8">
                  <c:v>ENSC PARIS</c:v>
                </c:pt>
                <c:pt idx="9">
                  <c:v>ENSC RENNES</c:v>
                </c:pt>
                <c:pt idx="10">
                  <c:v>ENSI CAEN</c:v>
                </c:pt>
                <c:pt idx="11">
                  <c:v>ENSIIE</c:v>
                </c:pt>
                <c:pt idx="12">
                  <c:v>INP GRENOBLE</c:v>
                </c:pt>
                <c:pt idx="13">
                  <c:v>INP TOULOUSE</c:v>
                </c:pt>
                <c:pt idx="14">
                  <c:v>INSA CENTRE VAL DE LOIRE</c:v>
                </c:pt>
                <c:pt idx="15">
                  <c:v>INSA DE RENNES</c:v>
                </c:pt>
                <c:pt idx="16">
                  <c:v>INSA DE ROUEN</c:v>
                </c:pt>
                <c:pt idx="17">
                  <c:v>INSA DE STRASBOURG</c:v>
                </c:pt>
                <c:pt idx="18">
                  <c:v>INSA DE TOULOUSE</c:v>
                </c:pt>
                <c:pt idx="19">
                  <c:v>ISAE-ENSMA POITIERS</c:v>
                </c:pt>
                <c:pt idx="20">
                  <c:v>INP CLERMONT (Sigma)</c:v>
                </c:pt>
                <c:pt idx="21">
                  <c:v>UT BELFORT-MONTBELIARD</c:v>
                </c:pt>
                <c:pt idx="22">
                  <c:v>UT COMPIEGNE</c:v>
                </c:pt>
                <c:pt idx="23">
                  <c:v>UT TROYES</c:v>
                </c:pt>
              </c:strCache>
            </c:strRef>
          </c:cat>
          <c:val>
            <c:numRef>
              <c:f>'[1]2019-2021 GE'!$W$3:$W$26</c:f>
              <c:numCache>
                <c:formatCode>General</c:formatCode>
                <c:ptCount val="24"/>
                <c:pt idx="0">
                  <c:v>18.890858445175994</c:v>
                </c:pt>
                <c:pt idx="1">
                  <c:v>13.386194029850746</c:v>
                </c:pt>
                <c:pt idx="2">
                  <c:v>11.366758241758241</c:v>
                </c:pt>
                <c:pt idx="3">
                  <c:v>14.112554112554113</c:v>
                </c:pt>
                <c:pt idx="4">
                  <c:v>11.79245283018868</c:v>
                </c:pt>
                <c:pt idx="5">
                  <c:v>13.032367972742758</c:v>
                </c:pt>
                <c:pt idx="6">
                  <c:v>16.267547481420312</c:v>
                </c:pt>
                <c:pt idx="7">
                  <c:v>25.799573560767591</c:v>
                </c:pt>
                <c:pt idx="8">
                  <c:v>24.752475247524753</c:v>
                </c:pt>
                <c:pt idx="9">
                  <c:v>15.768463073852296</c:v>
                </c:pt>
                <c:pt idx="10">
                  <c:v>16.708542713567841</c:v>
                </c:pt>
                <c:pt idx="11">
                  <c:v>10.299625468164795</c:v>
                </c:pt>
                <c:pt idx="12">
                  <c:v>13.648596693579393</c:v>
                </c:pt>
                <c:pt idx="13">
                  <c:v>18.858682341415626</c:v>
                </c:pt>
                <c:pt idx="14">
                  <c:v>10.716365754222481</c:v>
                </c:pt>
                <c:pt idx="15">
                  <c:v>19.521717911176182</c:v>
                </c:pt>
                <c:pt idx="16">
                  <c:v>15.869140625</c:v>
                </c:pt>
                <c:pt idx="17">
                  <c:v>10.009910802775025</c:v>
                </c:pt>
                <c:pt idx="18">
                  <c:v>16.371971185330715</c:v>
                </c:pt>
                <c:pt idx="19">
                  <c:v>19.780219780219781</c:v>
                </c:pt>
                <c:pt idx="20">
                  <c:v>4.7588216251213984</c:v>
                </c:pt>
                <c:pt idx="21">
                  <c:v>13.783783783783784</c:v>
                </c:pt>
                <c:pt idx="22">
                  <c:v>15.027257643991469</c:v>
                </c:pt>
                <c:pt idx="23">
                  <c:v>9.4901719901719908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867-224B-8713-7AD2883117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0"/>
        <c:overlap val="100"/>
        <c:axId val="1221713024"/>
        <c:axId val="1355415184"/>
      </c:barChart>
      <c:catAx>
        <c:axId val="13541513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54152992"/>
        <c:crosses val="autoZero"/>
        <c:auto val="1"/>
        <c:lblAlgn val="ctr"/>
        <c:lblOffset val="100"/>
        <c:noMultiLvlLbl val="0"/>
      </c:catAx>
      <c:valAx>
        <c:axId val="1354152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solidFill>
            <a:schemeClr val="tx2">
              <a:lumMod val="60000"/>
              <a:lumOff val="40000"/>
            </a:schemeClr>
          </a:solidFill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54151360"/>
        <c:crosses val="autoZero"/>
        <c:crossBetween val="between"/>
      </c:valAx>
      <c:valAx>
        <c:axId val="1355415184"/>
        <c:scaling>
          <c:orientation val="minMax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accent1">
                    <a:lumMod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21713024"/>
        <c:crosses val="max"/>
        <c:crossBetween val="between"/>
      </c:valAx>
      <c:catAx>
        <c:axId val="12217130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35541518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0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kumimoji="0" lang="fr-FR" sz="2000" b="0" i="0" u="none" strike="noStrike" kern="1200" cap="none" spc="0" normalizeH="0" baseline="0" noProof="0">
                <a:ln>
                  <a:noFill/>
                </a:ln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uLnTx/>
                <a:uFillTx/>
                <a:latin typeface="Calibri Light" panose="020F0302020204030204"/>
              </a:rPr>
              <a:t>évolution du </a:t>
            </a:r>
            <a:r>
              <a:rPr kumimoji="0" lang="fr-FR" sz="2000" b="1" i="0" u="none" strike="noStrike" kern="1200" cap="none" spc="0" normalizeH="0" baseline="0" noProof="0">
                <a:ln>
                  <a:noFill/>
                </a:ln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uLnTx/>
                <a:uFillTx/>
                <a:latin typeface="Calibri Light" panose="020F0302020204030204"/>
              </a:rPr>
              <a:t>taux d'encadrement </a:t>
            </a:r>
            <a:r>
              <a:rPr kumimoji="0" lang="fr-FR" sz="2000" b="0" i="0" u="none" strike="noStrike" kern="1200" cap="none" spc="0" normalizeH="0" baseline="0" noProof="0">
                <a:ln>
                  <a:noFill/>
                </a:ln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uLnTx/>
                <a:uFillTx/>
                <a:latin typeface="Calibri Light" panose="020F0302020204030204"/>
              </a:rPr>
              <a:t>(nb agents pour 100 étudiants) </a:t>
            </a:r>
            <a:r>
              <a:rPr kumimoji="0" lang="fr-FR" sz="2000" b="1" i="0" u="none" strike="noStrike" kern="1200" cap="none" spc="0" normalizeH="0" baseline="0" noProof="0">
                <a:ln>
                  <a:noFill/>
                </a:ln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uLnTx/>
                <a:uFillTx/>
                <a:latin typeface="Calibri Light" panose="020F0302020204030204"/>
              </a:rPr>
              <a:t>dans les universités les moins et les mieux dotées </a:t>
            </a:r>
            <a:r>
              <a:rPr lang="fr-FR" sz="2000" b="0" i="0" u="none" strike="noStrike" cap="none" normalizeH="0" baseline="0">
                <a:effectLst/>
              </a:rPr>
              <a:t>suivant leurs profils </a:t>
            </a:r>
            <a:r>
              <a:rPr kumimoji="0" lang="fr-FR" sz="2000" b="0" i="0" u="none" strike="noStrike" kern="1200" cap="none" spc="0" normalizeH="0" baseline="0" noProof="0">
                <a:ln>
                  <a:noFill/>
                </a:ln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uLnTx/>
                <a:uFillTx/>
                <a:latin typeface="Calibri Light" panose="020F0302020204030204"/>
              </a:rPr>
              <a:t>entre 2019 et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cap="none" spc="0" normalizeH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j-ea"/>
              <a:cs typeface="+mj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'Graphique pluriannuel'!$D$1:$D$2</c:f>
              <c:strCache>
                <c:ptCount val="2"/>
                <c:pt idx="0">
                  <c:v>2019</c:v>
                </c:pt>
                <c:pt idx="1">
                  <c:v>taux d'encadrement agents/100 étudiants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'Graphique pluriannuel'!$A$9:$B$16</c:f>
              <c:multiLvlStrCache>
                <c:ptCount val="8"/>
                <c:lvl>
                  <c:pt idx="0">
                    <c:v>Lyon3 Jean Moulin</c:v>
                  </c:pt>
                  <c:pt idx="1">
                    <c:v>Paris3 Sorbonne nouvelle</c:v>
                  </c:pt>
                  <c:pt idx="2">
                    <c:v>Angers</c:v>
                  </c:pt>
                  <c:pt idx="3">
                    <c:v>Paris5 Diderot puis Sorbonne Université</c:v>
                  </c:pt>
                  <c:pt idx="4">
                    <c:v>Nîmes</c:v>
                  </c:pt>
                  <c:pt idx="5">
                    <c:v>Corte Pascal Paoli* puis Evry Val d'Essonne</c:v>
                  </c:pt>
                  <c:pt idx="6">
                    <c:v>Lyon1 Claude Bernard</c:v>
                  </c:pt>
                  <c:pt idx="7">
                    <c:v>Toulouse3 Paul Sabatier</c:v>
                  </c:pt>
                </c:lvl>
                <c:lvl>
                  <c:pt idx="0">
                    <c:v>MIN  des UTALLSHS et UTDEG</c:v>
                  </c:pt>
                  <c:pt idx="1">
                    <c:v>MAX des UTALLSHS et UTDEG</c:v>
                  </c:pt>
                  <c:pt idx="2">
                    <c:v>MIN  des UPavS</c:v>
                  </c:pt>
                  <c:pt idx="3">
                    <c:v>MAX  des UPavS</c:v>
                  </c:pt>
                  <c:pt idx="4">
                    <c:v>MIN  des UPhs</c:v>
                  </c:pt>
                  <c:pt idx="5">
                    <c:v>MAX  des UPhs</c:v>
                  </c:pt>
                  <c:pt idx="6">
                    <c:v>MIN  des USTS</c:v>
                  </c:pt>
                  <c:pt idx="7">
                    <c:v>MAX  des USTS</c:v>
                  </c:pt>
                </c:lvl>
              </c:multiLvlStrCache>
            </c:multiLvlStrRef>
          </c:cat>
          <c:val>
            <c:numRef>
              <c:f>'Graphique pluriannuel'!$D$9:$D$16</c:f>
              <c:numCache>
                <c:formatCode>0.0</c:formatCode>
                <c:ptCount val="8"/>
                <c:pt idx="0">
                  <c:v>4.4117647058823533</c:v>
                </c:pt>
                <c:pt idx="1">
                  <c:v>7.2753209700427961</c:v>
                </c:pt>
                <c:pt idx="2">
                  <c:v>6.7827521820313512</c:v>
                </c:pt>
                <c:pt idx="3">
                  <c:v>13.740112063282794</c:v>
                </c:pt>
                <c:pt idx="4">
                  <c:v>4.8401420959147421</c:v>
                </c:pt>
                <c:pt idx="5">
                  <c:v>14.183209758430998</c:v>
                </c:pt>
                <c:pt idx="6">
                  <c:v>9.9752499272056685</c:v>
                </c:pt>
                <c:pt idx="7">
                  <c:v>13.065644785071642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00-5141-AFF0-C3C0B9136A26}"/>
            </c:ext>
          </c:extLst>
        </c:ser>
        <c:ser>
          <c:idx val="1"/>
          <c:order val="1"/>
          <c:tx>
            <c:strRef>
              <c:f>'Graphique pluriannuel'!$G$1:$G$2</c:f>
              <c:strCache>
                <c:ptCount val="2"/>
                <c:pt idx="0">
                  <c:v>2020</c:v>
                </c:pt>
                <c:pt idx="1">
                  <c:v>taux d'encadrement agents/100 étudiants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'Graphique pluriannuel'!$A$9:$B$16</c:f>
              <c:multiLvlStrCache>
                <c:ptCount val="8"/>
                <c:lvl>
                  <c:pt idx="0">
                    <c:v>Lyon3 Jean Moulin</c:v>
                  </c:pt>
                  <c:pt idx="1">
                    <c:v>Paris3 Sorbonne nouvelle</c:v>
                  </c:pt>
                  <c:pt idx="2">
                    <c:v>Angers</c:v>
                  </c:pt>
                  <c:pt idx="3">
                    <c:v>Paris5 Diderot puis Sorbonne Université</c:v>
                  </c:pt>
                  <c:pt idx="4">
                    <c:v>Nîmes</c:v>
                  </c:pt>
                  <c:pt idx="5">
                    <c:v>Corte Pascal Paoli* puis Evry Val d'Essonne</c:v>
                  </c:pt>
                  <c:pt idx="6">
                    <c:v>Lyon1 Claude Bernard</c:v>
                  </c:pt>
                  <c:pt idx="7">
                    <c:v>Toulouse3 Paul Sabatier</c:v>
                  </c:pt>
                </c:lvl>
                <c:lvl>
                  <c:pt idx="0">
                    <c:v>MIN  des UTALLSHS et UTDEG</c:v>
                  </c:pt>
                  <c:pt idx="1">
                    <c:v>MAX des UTALLSHS et UTDEG</c:v>
                  </c:pt>
                  <c:pt idx="2">
                    <c:v>MIN  des UPavS</c:v>
                  </c:pt>
                  <c:pt idx="3">
                    <c:v>MAX  des UPavS</c:v>
                  </c:pt>
                  <c:pt idx="4">
                    <c:v>MIN  des UPhs</c:v>
                  </c:pt>
                  <c:pt idx="5">
                    <c:v>MAX  des UPhs</c:v>
                  </c:pt>
                  <c:pt idx="6">
                    <c:v>MIN  des USTS</c:v>
                  </c:pt>
                  <c:pt idx="7">
                    <c:v>MAX  des USTS</c:v>
                  </c:pt>
                </c:lvl>
              </c:multiLvlStrCache>
            </c:multiLvlStrRef>
          </c:cat>
          <c:val>
            <c:numRef>
              <c:f>'Graphique pluriannuel'!$G$9:$G$16</c:f>
              <c:numCache>
                <c:formatCode>0.0</c:formatCode>
                <c:ptCount val="8"/>
                <c:pt idx="0">
                  <c:v>4.7821087275466914</c:v>
                </c:pt>
                <c:pt idx="1">
                  <c:v>7.3413443484791587</c:v>
                </c:pt>
                <c:pt idx="2">
                  <c:v>6.244503078276165</c:v>
                </c:pt>
                <c:pt idx="3">
                  <c:v>13.306482994785588</c:v>
                </c:pt>
                <c:pt idx="4">
                  <c:v>4.5078577336641859</c:v>
                </c:pt>
                <c:pt idx="5">
                  <c:v>13.062982832618026</c:v>
                </c:pt>
                <c:pt idx="6">
                  <c:v>8.9237648693236089</c:v>
                </c:pt>
                <c:pt idx="7">
                  <c:v>11.700286464550013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D00-5141-AFF0-C3C0B9136A26}"/>
            </c:ext>
          </c:extLst>
        </c:ser>
        <c:ser>
          <c:idx val="2"/>
          <c:order val="2"/>
          <c:tx>
            <c:strRef>
              <c:f>'Graphique pluriannuel'!$J$1:$J$2</c:f>
              <c:strCache>
                <c:ptCount val="2"/>
                <c:pt idx="0">
                  <c:v>2021</c:v>
                </c:pt>
                <c:pt idx="1">
                  <c:v>taux d'encadrement agents/100 étudiants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'Graphique pluriannuel'!$A$9:$B$16</c:f>
              <c:multiLvlStrCache>
                <c:ptCount val="8"/>
                <c:lvl>
                  <c:pt idx="0">
                    <c:v>Lyon3 Jean Moulin</c:v>
                  </c:pt>
                  <c:pt idx="1">
                    <c:v>Paris3 Sorbonne nouvelle</c:v>
                  </c:pt>
                  <c:pt idx="2">
                    <c:v>Angers</c:v>
                  </c:pt>
                  <c:pt idx="3">
                    <c:v>Paris5 Diderot puis Sorbonne Université</c:v>
                  </c:pt>
                  <c:pt idx="4">
                    <c:v>Nîmes</c:v>
                  </c:pt>
                  <c:pt idx="5">
                    <c:v>Corte Pascal Paoli* puis Evry Val d'Essonne</c:v>
                  </c:pt>
                  <c:pt idx="6">
                    <c:v>Lyon1 Claude Bernard</c:v>
                  </c:pt>
                  <c:pt idx="7">
                    <c:v>Toulouse3 Paul Sabatier</c:v>
                  </c:pt>
                </c:lvl>
                <c:lvl>
                  <c:pt idx="0">
                    <c:v>MIN  des UTALLSHS et UTDEG</c:v>
                  </c:pt>
                  <c:pt idx="1">
                    <c:v>MAX des UTALLSHS et UTDEG</c:v>
                  </c:pt>
                  <c:pt idx="2">
                    <c:v>MIN  des UPavS</c:v>
                  </c:pt>
                  <c:pt idx="3">
                    <c:v>MAX  des UPavS</c:v>
                  </c:pt>
                  <c:pt idx="4">
                    <c:v>MIN  des UPhs</c:v>
                  </c:pt>
                  <c:pt idx="5">
                    <c:v>MAX  des UPhs</c:v>
                  </c:pt>
                  <c:pt idx="6">
                    <c:v>MIN  des USTS</c:v>
                  </c:pt>
                  <c:pt idx="7">
                    <c:v>MAX  des USTS</c:v>
                  </c:pt>
                </c:lvl>
              </c:multiLvlStrCache>
            </c:multiLvlStrRef>
          </c:cat>
          <c:val>
            <c:numRef>
              <c:f>'Graphique pluriannuel'!$J$9:$J$16</c:f>
              <c:numCache>
                <c:formatCode>0.0</c:formatCode>
                <c:ptCount val="8"/>
                <c:pt idx="0">
                  <c:v>4.7821087275466914</c:v>
                </c:pt>
                <c:pt idx="1">
                  <c:v>7.5009592019439824</c:v>
                </c:pt>
                <c:pt idx="2">
                  <c:v>5.9917910161494499</c:v>
                </c:pt>
                <c:pt idx="3">
                  <c:v>13.249254136154054</c:v>
                </c:pt>
                <c:pt idx="4">
                  <c:v>4.0527979178285927</c:v>
                </c:pt>
                <c:pt idx="5">
                  <c:v>13.279932546374368</c:v>
                </c:pt>
                <c:pt idx="6">
                  <c:v>9.2104673567235746</c:v>
                </c:pt>
                <c:pt idx="7">
                  <c:v>11.927721838590941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D00-5141-AFF0-C3C0B9136A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99"/>
        <c:axId val="1230719231"/>
        <c:axId val="1230819023"/>
      </c:barChart>
      <c:catAx>
        <c:axId val="12307192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30819023"/>
        <c:crosses val="autoZero"/>
        <c:auto val="1"/>
        <c:lblAlgn val="ctr"/>
        <c:lblOffset val="100"/>
        <c:noMultiLvlLbl val="0"/>
      </c:catAx>
      <c:valAx>
        <c:axId val="12308190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3071923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kumimoji="0" lang="fr-FR" sz="1600" b="1" i="0" u="none" strike="noStrike" kern="1200" cap="none" spc="0" normalizeH="0" baseline="0" noProof="0">
                <a:ln>
                  <a:noFill/>
                </a:ln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uLnTx/>
                <a:uFillTx/>
                <a:latin typeface="Calibri Light" panose="020F0302020204030204"/>
              </a:rPr>
              <a:t>évolution de l'écart entre la SCSP par étudiant </a:t>
            </a:r>
            <a:r>
              <a:rPr kumimoji="0" lang="fr-FR" sz="1600" b="0" i="0" u="none" strike="noStrike" kern="1200" cap="none" spc="0" normalizeH="0" baseline="0" noProof="0">
                <a:ln>
                  <a:noFill/>
                </a:ln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uLnTx/>
                <a:uFillTx/>
                <a:latin typeface="Calibri Light" panose="020F0302020204030204"/>
              </a:rPr>
              <a:t>min et max </a:t>
            </a:r>
            <a:r>
              <a:rPr kumimoji="0" lang="fr-FR" sz="1600" b="1" i="0" u="none" strike="noStrike" kern="1200" cap="none" spc="0" normalizeH="0" baseline="0" noProof="0">
                <a:ln>
                  <a:noFill/>
                </a:ln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uLnTx/>
                <a:uFillTx/>
                <a:latin typeface="Calibri Light" panose="020F0302020204030204"/>
              </a:rPr>
              <a:t>des universités les moins et les mieux dotées </a:t>
            </a:r>
            <a:r>
              <a:rPr lang="fr-FR" sz="1600" b="0" i="0" u="none" strike="noStrike" cap="none" normalizeH="0" baseline="0">
                <a:effectLst/>
              </a:rPr>
              <a:t>suivant leurs profils </a:t>
            </a:r>
            <a:r>
              <a:rPr kumimoji="0" lang="fr-FR" sz="1600" b="0" i="0" u="none" strike="noStrike" kern="1200" cap="none" spc="0" normalizeH="0" baseline="0" noProof="0">
                <a:ln>
                  <a:noFill/>
                </a:ln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uLnTx/>
                <a:uFillTx/>
                <a:latin typeface="Calibri Light" panose="020F0302020204030204"/>
              </a:rPr>
              <a:t>entre 2019 et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cap="none" spc="0" normalizeH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j-ea"/>
              <a:cs typeface="+mj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'Graphique pluriannuel'!$C$1:$C$2</c:f>
              <c:strCache>
                <c:ptCount val="2"/>
                <c:pt idx="0">
                  <c:v>2019</c:v>
                </c:pt>
                <c:pt idx="1">
                  <c:v>SCSP/étudiant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cat>
            <c:strRef>
              <c:f>'Graphique pluriannuel'!$A$18:$A$21</c:f>
              <c:strCache>
                <c:ptCount val="4"/>
                <c:pt idx="0">
                  <c:v>ECARTS UTALLSHS</c:v>
                </c:pt>
                <c:pt idx="1">
                  <c:v>ECARTS UPavS</c:v>
                </c:pt>
                <c:pt idx="2">
                  <c:v>ECARTS  des UPhs</c:v>
                </c:pt>
                <c:pt idx="3">
                  <c:v>ECARTS  des USTS</c:v>
                </c:pt>
              </c:strCache>
            </c:strRef>
          </c:cat>
          <c:val>
            <c:numRef>
              <c:f>'Graphique pluriannuel'!$C$18:$C$21</c:f>
              <c:numCache>
                <c:formatCode>0%</c:formatCode>
                <c:ptCount val="4"/>
                <c:pt idx="0">
                  <c:v>0.75910873107351717</c:v>
                </c:pt>
                <c:pt idx="1">
                  <c:v>0.95746512205271794</c:v>
                </c:pt>
                <c:pt idx="2">
                  <c:v>1.268812163197123</c:v>
                </c:pt>
                <c:pt idx="3">
                  <c:v>0.33369651245670251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41-144E-A8F6-A68EB6EA81B2}"/>
            </c:ext>
          </c:extLst>
        </c:ser>
        <c:ser>
          <c:idx val="4"/>
          <c:order val="1"/>
          <c:tx>
            <c:strRef>
              <c:f>'Graphique pluriannuel'!$F$1:$F$2</c:f>
              <c:strCache>
                <c:ptCount val="2"/>
                <c:pt idx="0">
                  <c:v>2020</c:v>
                </c:pt>
                <c:pt idx="1">
                  <c:v>SCSP/étudiant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'Graphique pluriannuel'!$A$18:$A$21</c:f>
              <c:strCache>
                <c:ptCount val="4"/>
                <c:pt idx="0">
                  <c:v>ECARTS UTALLSHS</c:v>
                </c:pt>
                <c:pt idx="1">
                  <c:v>ECARTS UPavS</c:v>
                </c:pt>
                <c:pt idx="2">
                  <c:v>ECARTS  des UPhs</c:v>
                </c:pt>
                <c:pt idx="3">
                  <c:v>ECARTS  des USTS</c:v>
                </c:pt>
              </c:strCache>
            </c:strRef>
          </c:cat>
          <c:val>
            <c:numRef>
              <c:f>'Graphique pluriannuel'!$F$18:$F$21</c:f>
              <c:numCache>
                <c:formatCode>0%</c:formatCode>
                <c:ptCount val="4"/>
                <c:pt idx="0">
                  <c:v>0.63616781745976436</c:v>
                </c:pt>
                <c:pt idx="1">
                  <c:v>0.89567556250407521</c:v>
                </c:pt>
                <c:pt idx="2">
                  <c:v>1.2166447171580048</c:v>
                </c:pt>
                <c:pt idx="3">
                  <c:v>0.33529634770076749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441-144E-A8F6-A68EB6EA81B2}"/>
            </c:ext>
          </c:extLst>
        </c:ser>
        <c:ser>
          <c:idx val="7"/>
          <c:order val="2"/>
          <c:tx>
            <c:strRef>
              <c:f>'Graphique pluriannuel'!$I$1:$I$2</c:f>
              <c:strCache>
                <c:ptCount val="2"/>
                <c:pt idx="0">
                  <c:v>2021</c:v>
                </c:pt>
                <c:pt idx="1">
                  <c:v>SCSP/étudiant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'Graphique pluriannuel'!$A$18:$A$21</c:f>
              <c:strCache>
                <c:ptCount val="4"/>
                <c:pt idx="0">
                  <c:v>ECARTS UTALLSHS</c:v>
                </c:pt>
                <c:pt idx="1">
                  <c:v>ECARTS UPavS</c:v>
                </c:pt>
                <c:pt idx="2">
                  <c:v>ECARTS  des UPhs</c:v>
                </c:pt>
                <c:pt idx="3">
                  <c:v>ECARTS  des USTS</c:v>
                </c:pt>
              </c:strCache>
            </c:strRef>
          </c:cat>
          <c:val>
            <c:numRef>
              <c:f>'Graphique pluriannuel'!$I$18:$I$21</c:f>
              <c:numCache>
                <c:formatCode>0%</c:formatCode>
                <c:ptCount val="4"/>
                <c:pt idx="0">
                  <c:v>0.6739475438451098</c:v>
                </c:pt>
                <c:pt idx="1">
                  <c:v>0.93847367725709641</c:v>
                </c:pt>
                <c:pt idx="2">
                  <c:v>1.7373703095030564</c:v>
                </c:pt>
                <c:pt idx="3">
                  <c:v>0.31772433966646701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441-144E-A8F6-A68EB6EA81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99"/>
        <c:axId val="1230719231"/>
        <c:axId val="1230819023"/>
      </c:barChart>
      <c:catAx>
        <c:axId val="12307192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30819023"/>
        <c:crossesAt val="0"/>
        <c:auto val="1"/>
        <c:lblAlgn val="ctr"/>
        <c:lblOffset val="100"/>
        <c:noMultiLvlLbl val="0"/>
      </c:catAx>
      <c:valAx>
        <c:axId val="1230819023"/>
        <c:scaling>
          <c:orientation val="minMax"/>
          <c:max val="2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3071923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moyenne nationale de la SCSP par étudiant suivant le profil d'universités entre 2019 et 2021 </a:t>
            </a:r>
            <a:r>
              <a:rPr lang="fr-FR" sz="1200"/>
              <a:t>(</a:t>
            </a:r>
            <a:r>
              <a:rPr lang="fr-FR" sz="1050"/>
              <a:t>en euros constants de 2019)</a:t>
            </a:r>
            <a:endParaRPr lang="fr-FR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2"/>
          <c:order val="1"/>
          <c:tx>
            <c:strRef>
              <c:f>'Graphique pluriannuel'!$A$4:$B$4</c:f>
              <c:strCache>
                <c:ptCount val="2"/>
                <c:pt idx="0">
                  <c:v>MOYENNE  des UTALLSHS et UTDEG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0"/>
              <c:numFmt formatCode="#,##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FA13-E747-94F1-A5E028FA4358}"/>
                </c:ext>
              </c:extLst>
            </c:dLbl>
            <c:dLbl>
              <c:idx val="1"/>
              <c:numFmt formatCode="#,##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B-FA13-E747-94F1-A5E028FA4358}"/>
                </c:ext>
              </c:extLst>
            </c:dLbl>
            <c:dLbl>
              <c:idx val="2"/>
              <c:numFmt formatCode="#,##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A-FA13-E747-94F1-A5E028FA435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('Graphique pluriannuel'!$C$1:$C$2,'Graphique pluriannuel'!$F$1:$F$2,'Graphique pluriannuel'!$I$1:$I$2)</c:f>
              <c:multiLvlStrCache>
                <c:ptCount val="3"/>
                <c:lvl>
                  <c:pt idx="0">
                    <c:v>SCSP/étudiant</c:v>
                  </c:pt>
                  <c:pt idx="1">
                    <c:v>SCSP/étudiant</c:v>
                  </c:pt>
                  <c:pt idx="2">
                    <c:v>SCSP/étudiant</c:v>
                  </c:pt>
                </c:lvl>
                <c:lvl>
                  <c:pt idx="0">
                    <c:v>2019</c:v>
                  </c:pt>
                  <c:pt idx="1">
                    <c:v>2020</c:v>
                  </c:pt>
                  <c:pt idx="2">
                    <c:v>2021</c:v>
                  </c:pt>
                </c:lvl>
              </c:multiLvlStrCache>
            </c:multiLvlStrRef>
          </c:cat>
          <c:val>
            <c:numRef>
              <c:f>('Graphique pluriannuel'!$C$4,'Graphique pluriannuel'!$F$4,'Graphique pluriannuel'!$I$4)</c:f>
              <c:numCache>
                <c:formatCode>_-* #,##0\ [$€-40C]_-;\-* #,##0\ [$€-40C]_-;_-* "-"??\ [$€-40C]_-;_-@_-</c:formatCode>
                <c:ptCount val="3"/>
                <c:pt idx="0">
                  <c:v>4811.4342541699061</c:v>
                </c:pt>
                <c:pt idx="1">
                  <c:v>4712.9147571713193</c:v>
                </c:pt>
                <c:pt idx="2">
                  <c:v>4626.2435881603524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A13-E747-94F1-A5E028FA4358}"/>
            </c:ext>
          </c:extLst>
        </c:ser>
        <c:ser>
          <c:idx val="3"/>
          <c:order val="2"/>
          <c:tx>
            <c:strRef>
              <c:f>'Graphique pluriannuel'!$A$5:$B$5</c:f>
              <c:strCache>
                <c:ptCount val="2"/>
                <c:pt idx="0">
                  <c:v>MOYENNE  des UPavS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('Graphique pluriannuel'!$C$1:$C$2,'Graphique pluriannuel'!$F$1:$F$2,'Graphique pluriannuel'!$I$1:$I$2)</c:f>
              <c:multiLvlStrCache>
                <c:ptCount val="3"/>
                <c:lvl>
                  <c:pt idx="0">
                    <c:v>SCSP/étudiant</c:v>
                  </c:pt>
                  <c:pt idx="1">
                    <c:v>SCSP/étudiant</c:v>
                  </c:pt>
                  <c:pt idx="2">
                    <c:v>SCSP/étudiant</c:v>
                  </c:pt>
                </c:lvl>
                <c:lvl>
                  <c:pt idx="0">
                    <c:v>2019</c:v>
                  </c:pt>
                  <c:pt idx="1">
                    <c:v>2020</c:v>
                  </c:pt>
                  <c:pt idx="2">
                    <c:v>2021</c:v>
                  </c:pt>
                </c:lvl>
              </c:multiLvlStrCache>
            </c:multiLvlStrRef>
          </c:cat>
          <c:val>
            <c:numRef>
              <c:f>('Graphique pluriannuel'!$C$5,'Graphique pluriannuel'!$F$5,'Graphique pluriannuel'!$I$5)</c:f>
              <c:numCache>
                <c:formatCode>_-* #,##0\ [$€-40C]_-;\-* #,##0\ [$€-40C]_-;_-* "-"??\ [$€-40C]_-;_-@_-</c:formatCode>
                <c:ptCount val="3"/>
                <c:pt idx="0">
                  <c:v>7302.6349361930916</c:v>
                </c:pt>
                <c:pt idx="1">
                  <c:v>6476.349644042627</c:v>
                </c:pt>
                <c:pt idx="2">
                  <c:v>6420.1974698498043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A13-E747-94F1-A5E028FA4358}"/>
            </c:ext>
          </c:extLst>
        </c:ser>
        <c:ser>
          <c:idx val="4"/>
          <c:order val="3"/>
          <c:tx>
            <c:strRef>
              <c:f>'Graphique pluriannuel'!$A$6:$B$6</c:f>
              <c:strCache>
                <c:ptCount val="2"/>
                <c:pt idx="0">
                  <c:v>MOYENNE  des UPhs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('Graphique pluriannuel'!$C$1:$C$2,'Graphique pluriannuel'!$F$1:$F$2,'Graphique pluriannuel'!$I$1:$I$2)</c:f>
              <c:multiLvlStrCache>
                <c:ptCount val="3"/>
                <c:lvl>
                  <c:pt idx="0">
                    <c:v>SCSP/étudiant</c:v>
                  </c:pt>
                  <c:pt idx="1">
                    <c:v>SCSP/étudiant</c:v>
                  </c:pt>
                  <c:pt idx="2">
                    <c:v>SCSP/étudiant</c:v>
                  </c:pt>
                </c:lvl>
                <c:lvl>
                  <c:pt idx="0">
                    <c:v>2019</c:v>
                  </c:pt>
                  <c:pt idx="1">
                    <c:v>2020</c:v>
                  </c:pt>
                  <c:pt idx="2">
                    <c:v>2021</c:v>
                  </c:pt>
                </c:lvl>
              </c:multiLvlStrCache>
            </c:multiLvlStrRef>
          </c:cat>
          <c:val>
            <c:numRef>
              <c:f>('Graphique pluriannuel'!$C$6,'Graphique pluriannuel'!$F$6,'Graphique pluriannuel'!$I$6)</c:f>
              <c:numCache>
                <c:formatCode>_-* #,##0\ [$€-40C]_-;\-* #,##0\ [$€-40C]_-;_-* "-"??\ [$€-40C]_-;_-@_-</c:formatCode>
                <c:ptCount val="3"/>
                <c:pt idx="0">
                  <c:v>7292.8673019766484</c:v>
                </c:pt>
                <c:pt idx="1">
                  <c:v>6554.4614132390543</c:v>
                </c:pt>
                <c:pt idx="2">
                  <c:v>6540.2205001553066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A13-E747-94F1-A5E028FA4358}"/>
            </c:ext>
          </c:extLst>
        </c:ser>
        <c:ser>
          <c:idx val="5"/>
          <c:order val="4"/>
          <c:tx>
            <c:strRef>
              <c:f>'Graphique pluriannuel'!$A$7:$B$7</c:f>
              <c:strCache>
                <c:ptCount val="2"/>
                <c:pt idx="0">
                  <c:v>MOYENNE  des USTS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  <a:effectLst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('Graphique pluriannuel'!$C$1:$C$2,'Graphique pluriannuel'!$F$1:$F$2,'Graphique pluriannuel'!$I$1:$I$2)</c:f>
              <c:multiLvlStrCache>
                <c:ptCount val="3"/>
                <c:lvl>
                  <c:pt idx="0">
                    <c:v>SCSP/étudiant</c:v>
                  </c:pt>
                  <c:pt idx="1">
                    <c:v>SCSP/étudiant</c:v>
                  </c:pt>
                  <c:pt idx="2">
                    <c:v>SCSP/étudiant</c:v>
                  </c:pt>
                </c:lvl>
                <c:lvl>
                  <c:pt idx="0">
                    <c:v>2019</c:v>
                  </c:pt>
                  <c:pt idx="1">
                    <c:v>2020</c:v>
                  </c:pt>
                  <c:pt idx="2">
                    <c:v>2021</c:v>
                  </c:pt>
                </c:lvl>
              </c:multiLvlStrCache>
            </c:multiLvlStrRef>
          </c:cat>
          <c:val>
            <c:numRef>
              <c:f>('Graphique pluriannuel'!$C$7,'Graphique pluriannuel'!$F$7,'Graphique pluriannuel'!$I$7)</c:f>
              <c:numCache>
                <c:formatCode>_-* #,##0\ [$€-40C]_-;\-* #,##0\ [$€-40C]_-;_-* "-"??\ [$€-40C]_-;_-@_-</c:formatCode>
                <c:ptCount val="3"/>
                <c:pt idx="0">
                  <c:v>8209.1256929788397</c:v>
                </c:pt>
                <c:pt idx="1">
                  <c:v>7770.1983979426905</c:v>
                </c:pt>
                <c:pt idx="2">
                  <c:v>7993.9827706966062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A13-E747-94F1-A5E028FA435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228294063"/>
        <c:axId val="1228295711"/>
      </c:barChart>
      <c:lineChart>
        <c:grouping val="standard"/>
        <c:varyColors val="0"/>
        <c:ser>
          <c:idx val="1"/>
          <c:order val="0"/>
          <c:tx>
            <c:strRef>
              <c:f>'Graphique pluriannuel'!$A$3:$B$3</c:f>
              <c:strCache>
                <c:ptCount val="2"/>
                <c:pt idx="0">
                  <c:v>MOYENNE NATIONALE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0"/>
                  <c:y val="4.26139972360819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FA13-E747-94F1-A5E028FA4358}"/>
                </c:ext>
              </c:extLst>
            </c:dLbl>
            <c:dLbl>
              <c:idx val="1"/>
              <c:layout>
                <c:manualLayout>
                  <c:x val="0"/>
                  <c:y val="3.04385694543443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FA13-E747-94F1-A5E028FA4358}"/>
                </c:ext>
              </c:extLst>
            </c:dLbl>
            <c:dLbl>
              <c:idx val="2"/>
              <c:layout>
                <c:manualLayout>
                  <c:x val="0"/>
                  <c:y val="3.65262833452131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FA13-E747-94F1-A5E028FA4358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overflow" horzOverflow="overflow" vert="horz" wrap="square" lIns="38100" tIns="19050" rIns="38100" bIns="19050" anchor="b" anchorCtr="0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('Graphique pluriannuel'!$C$1:$C$2,'Graphique pluriannuel'!$F$1:$F$2,'Graphique pluriannuel'!$I$1:$I$2)</c:f>
              <c:multiLvlStrCache>
                <c:ptCount val="3"/>
                <c:lvl>
                  <c:pt idx="0">
                    <c:v>SCSP/étudiant</c:v>
                  </c:pt>
                  <c:pt idx="1">
                    <c:v>SCSP/étudiant</c:v>
                  </c:pt>
                  <c:pt idx="2">
                    <c:v>SCSP/étudiant</c:v>
                  </c:pt>
                </c:lvl>
                <c:lvl>
                  <c:pt idx="0">
                    <c:v>2019</c:v>
                  </c:pt>
                  <c:pt idx="1">
                    <c:v>2020</c:v>
                  </c:pt>
                  <c:pt idx="2">
                    <c:v>2021</c:v>
                  </c:pt>
                </c:lvl>
              </c:multiLvlStrCache>
            </c:multiLvlStrRef>
          </c:cat>
          <c:val>
            <c:numRef>
              <c:f>('Graphique pluriannuel'!$C$3,'Graphique pluriannuel'!$F$3,'Graphique pluriannuel'!$I$3)</c:f>
              <c:numCache>
                <c:formatCode>_-* #,##0\ [$€-40C]_-;\-* #,##0\ [$€-40C]_-;_-* "-"??\ [$€-40C]_-;_-@_-</c:formatCode>
                <c:ptCount val="3"/>
                <c:pt idx="0">
                  <c:v>6933.6735106048127</c:v>
                </c:pt>
                <c:pt idx="1">
                  <c:v>6320.8828844507998</c:v>
                </c:pt>
                <c:pt idx="2">
                  <c:v>6282.5978976974648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A13-E747-94F1-A5E028FA43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28294063"/>
        <c:axId val="1228295711"/>
      </c:lineChart>
      <c:catAx>
        <c:axId val="122829406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28295711"/>
        <c:crosses val="autoZero"/>
        <c:auto val="1"/>
        <c:lblAlgn val="ctr"/>
        <c:lblOffset val="100"/>
        <c:noMultiLvlLbl val="0"/>
      </c:catAx>
      <c:valAx>
        <c:axId val="1228295711"/>
        <c:scaling>
          <c:orientation val="minMax"/>
          <c:max val="8300"/>
        </c:scaling>
        <c:delete val="1"/>
        <c:axPos val="l"/>
        <c:numFmt formatCode="_-* #,##0\ [$€-40C]_-;\-* #,##0\ [$€-40C]_-;_-* &quot;-&quot;??\ [$€-40C]_-;_-@_-" sourceLinked="1"/>
        <c:majorTickMark val="none"/>
        <c:minorTickMark val="none"/>
        <c:tickLblPos val="nextTo"/>
        <c:crossAx val="122829406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moyenne nationale du taux d'encadrement en nombre d'agents titulaires pour 100 étudiants suivant le profil d'universités entre 2019 et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1.3333368934502463E-2"/>
          <c:y val="0.14374858616113914"/>
          <c:w val="0.97333333333333338"/>
          <c:h val="0.75453899037478767"/>
        </c:manualLayout>
      </c:layout>
      <c:barChart>
        <c:barDir val="col"/>
        <c:grouping val="clustered"/>
        <c:varyColors val="0"/>
        <c:ser>
          <c:idx val="2"/>
          <c:order val="1"/>
          <c:tx>
            <c:strRef>
              <c:f>'Graphique pluriannuel'!$A$4:$B$4</c:f>
              <c:strCache>
                <c:ptCount val="2"/>
                <c:pt idx="0">
                  <c:v>MOYENNE  des UTALLSHS et UTDEG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numFmt formatCode="#,##0.0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('Graphique pluriannuel'!$C$1:$C$2,'Graphique pluriannuel'!$F$1:$F$2,'Graphique pluriannuel'!$I$1:$I$2)</c:f>
              <c:multiLvlStrCache>
                <c:ptCount val="3"/>
                <c:lvl>
                  <c:pt idx="0">
                    <c:v>SCSP/étudiant</c:v>
                  </c:pt>
                  <c:pt idx="1">
                    <c:v>SCSP/étudiant</c:v>
                  </c:pt>
                  <c:pt idx="2">
                    <c:v>SCSP/étudiant</c:v>
                  </c:pt>
                </c:lvl>
                <c:lvl>
                  <c:pt idx="0">
                    <c:v>2019</c:v>
                  </c:pt>
                  <c:pt idx="1">
                    <c:v>2020</c:v>
                  </c:pt>
                  <c:pt idx="2">
                    <c:v>2021</c:v>
                  </c:pt>
                </c:lvl>
              </c:multiLvlStrCache>
            </c:multiLvlStrRef>
          </c:cat>
          <c:val>
            <c:numRef>
              <c:f>('Graphique pluriannuel'!$D$4,'Graphique pluriannuel'!$G$4,'Graphique pluriannuel'!$J$4)</c:f>
              <c:numCache>
                <c:formatCode>0.0</c:formatCode>
                <c:ptCount val="3"/>
                <c:pt idx="0">
                  <c:v>6.1622605253419609</c:v>
                </c:pt>
                <c:pt idx="1">
                  <c:v>6.1259758269451421</c:v>
                </c:pt>
                <c:pt idx="2">
                  <c:v>5.9771764924053281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098-264C-BE4C-25DC78BAB6B4}"/>
            </c:ext>
          </c:extLst>
        </c:ser>
        <c:ser>
          <c:idx val="3"/>
          <c:order val="2"/>
          <c:tx>
            <c:strRef>
              <c:f>'Graphique pluriannuel'!$A$5:$B$5</c:f>
              <c:strCache>
                <c:ptCount val="2"/>
                <c:pt idx="0">
                  <c:v>MOYENNE  des UPavS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B098-264C-BE4C-25DC78BAB6B4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5EF8-664C-8C6D-59238B893A0B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5EF8-664C-8C6D-59238B893A0B}"/>
              </c:ext>
            </c:extLst>
          </c:dPt>
          <c:dLbls>
            <c:numFmt formatCode="#,##0.0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('Graphique pluriannuel'!$C$1:$C$2,'Graphique pluriannuel'!$F$1:$F$2,'Graphique pluriannuel'!$I$1:$I$2)</c:f>
              <c:multiLvlStrCache>
                <c:ptCount val="3"/>
                <c:lvl>
                  <c:pt idx="0">
                    <c:v>SCSP/étudiant</c:v>
                  </c:pt>
                  <c:pt idx="1">
                    <c:v>SCSP/étudiant</c:v>
                  </c:pt>
                  <c:pt idx="2">
                    <c:v>SCSP/étudiant</c:v>
                  </c:pt>
                </c:lvl>
                <c:lvl>
                  <c:pt idx="0">
                    <c:v>2019</c:v>
                  </c:pt>
                  <c:pt idx="1">
                    <c:v>2020</c:v>
                  </c:pt>
                  <c:pt idx="2">
                    <c:v>2021</c:v>
                  </c:pt>
                </c:lvl>
              </c:multiLvlStrCache>
            </c:multiLvlStrRef>
          </c:cat>
          <c:val>
            <c:numRef>
              <c:f>('Graphique pluriannuel'!$D$5,'Graphique pluriannuel'!$G$5,'Graphique pluriannuel'!$J$5)</c:f>
              <c:numCache>
                <c:formatCode>0.0</c:formatCode>
                <c:ptCount val="3"/>
                <c:pt idx="0">
                  <c:v>9.4940233465197732</c:v>
                </c:pt>
                <c:pt idx="1">
                  <c:v>8.5240147070857564</c:v>
                </c:pt>
                <c:pt idx="2">
                  <c:v>8.3581814241114873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098-264C-BE4C-25DC78BAB6B4}"/>
            </c:ext>
          </c:extLst>
        </c:ser>
        <c:ser>
          <c:idx val="4"/>
          <c:order val="3"/>
          <c:tx>
            <c:strRef>
              <c:f>'Graphique pluriannuel'!$A$6:$B$6</c:f>
              <c:strCache>
                <c:ptCount val="2"/>
                <c:pt idx="0">
                  <c:v>MOYENNE  des UPhs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numFmt formatCode="#,##0.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D-B098-264C-BE4C-25DC78BAB6B4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('Graphique pluriannuel'!$C$1:$C$2,'Graphique pluriannuel'!$F$1:$F$2,'Graphique pluriannuel'!$I$1:$I$2)</c:f>
              <c:multiLvlStrCache>
                <c:ptCount val="3"/>
                <c:lvl>
                  <c:pt idx="0">
                    <c:v>SCSP/étudiant</c:v>
                  </c:pt>
                  <c:pt idx="1">
                    <c:v>SCSP/étudiant</c:v>
                  </c:pt>
                  <c:pt idx="2">
                    <c:v>SCSP/étudiant</c:v>
                  </c:pt>
                </c:lvl>
                <c:lvl>
                  <c:pt idx="0">
                    <c:v>2019</c:v>
                  </c:pt>
                  <c:pt idx="1">
                    <c:v>2020</c:v>
                  </c:pt>
                  <c:pt idx="2">
                    <c:v>2021</c:v>
                  </c:pt>
                </c:lvl>
              </c:multiLvlStrCache>
            </c:multiLvlStrRef>
          </c:cat>
          <c:val>
            <c:numRef>
              <c:f>('Graphique pluriannuel'!$D$6,'Graphique pluriannuel'!$G$6,'Graphique pluriannuel'!$J$6)</c:f>
              <c:numCache>
                <c:formatCode>0.0</c:formatCode>
                <c:ptCount val="3"/>
                <c:pt idx="0">
                  <c:v>9.1419358986405275</c:v>
                </c:pt>
                <c:pt idx="1">
                  <c:v>8.2363138686131396</c:v>
                </c:pt>
                <c:pt idx="2">
                  <c:v>8.1270510067657895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098-264C-BE4C-25DC78BAB6B4}"/>
            </c:ext>
          </c:extLst>
        </c:ser>
        <c:ser>
          <c:idx val="5"/>
          <c:order val="4"/>
          <c:tx>
            <c:strRef>
              <c:f>'Graphique pluriannuel'!$A$7:$B$7</c:f>
              <c:strCache>
                <c:ptCount val="2"/>
                <c:pt idx="0">
                  <c:v>MOYENNE  des USTS</c:v>
                </c:pt>
              </c:strCache>
            </c:strRef>
          </c:tx>
          <c:spPr>
            <a:solidFill>
              <a:srgbClr val="B293E9"/>
            </a:solidFill>
            <a:ln>
              <a:noFill/>
            </a:ln>
            <a:effectLst/>
          </c:spPr>
          <c:invertIfNegative val="0"/>
          <c:dLbls>
            <c:numFmt formatCode="#,##0.0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('Graphique pluriannuel'!$C$1:$C$2,'Graphique pluriannuel'!$F$1:$F$2,'Graphique pluriannuel'!$I$1:$I$2)</c:f>
              <c:multiLvlStrCache>
                <c:ptCount val="3"/>
                <c:lvl>
                  <c:pt idx="0">
                    <c:v>SCSP/étudiant</c:v>
                  </c:pt>
                  <c:pt idx="1">
                    <c:v>SCSP/étudiant</c:v>
                  </c:pt>
                  <c:pt idx="2">
                    <c:v>SCSP/étudiant</c:v>
                  </c:pt>
                </c:lvl>
                <c:lvl>
                  <c:pt idx="0">
                    <c:v>2019</c:v>
                  </c:pt>
                  <c:pt idx="1">
                    <c:v>2020</c:v>
                  </c:pt>
                  <c:pt idx="2">
                    <c:v>2021</c:v>
                  </c:pt>
                </c:lvl>
              </c:multiLvlStrCache>
            </c:multiLvlStrRef>
          </c:cat>
          <c:val>
            <c:numRef>
              <c:f>('Graphique pluriannuel'!$D$7,'Graphique pluriannuel'!$G$7,'Graphique pluriannuel'!$J$7)</c:f>
              <c:numCache>
                <c:formatCode>0.0</c:formatCode>
                <c:ptCount val="3"/>
                <c:pt idx="0">
                  <c:v>11.209490349058287</c:v>
                </c:pt>
                <c:pt idx="1">
                  <c:v>10.608508996189283</c:v>
                </c:pt>
                <c:pt idx="2">
                  <c:v>10.913715030084981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098-264C-BE4C-25DC78BAB6B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228294063"/>
        <c:axId val="1228295711"/>
      </c:barChart>
      <c:lineChart>
        <c:grouping val="standard"/>
        <c:varyColors val="0"/>
        <c:ser>
          <c:idx val="1"/>
          <c:order val="0"/>
          <c:tx>
            <c:strRef>
              <c:f>'Graphique pluriannuel'!$A$3:$B$3</c:f>
              <c:strCache>
                <c:ptCount val="2"/>
                <c:pt idx="0">
                  <c:v>MOYENNE NATIONALE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2.2220245577161206E-17"/>
                  <c:y val="2.7443028704582876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400" b="1" i="0" u="none" strike="noStrike" kern="1200" baseline="0">
                        <a:solidFill>
                          <a:srgbClr val="FF000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52264E19-9577-1447-B7E0-C03A4A12F00E}" type="VALUE">
                      <a:rPr lang="en-US">
                        <a:solidFill>
                          <a:srgbClr val="FF0000"/>
                        </a:solidFill>
                      </a:rPr>
                      <a:pPr>
                        <a:defRPr sz="1400" b="1">
                          <a:solidFill>
                            <a:srgbClr val="FF0000"/>
                          </a:solidFill>
                        </a:defRPr>
                      </a:pPr>
                      <a:t>[VALEUR]</a:t>
                    </a:fld>
                    <a:endParaRPr lang="fr-FR"/>
                  </a:p>
                </c:rich>
              </c:tx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1" i="0" u="none" strike="noStrike" kern="1200" baseline="0">
                      <a:solidFill>
                        <a:srgbClr val="FF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B098-264C-BE4C-25DC78BAB6B4}"/>
                </c:ext>
              </c:extLst>
            </c:dLbl>
            <c:dLbl>
              <c:idx val="1"/>
              <c:layout>
                <c:manualLayout>
                  <c:x val="1.2120273964000496E-3"/>
                  <c:y val="2.4948207913257241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400" b="1" i="0" u="none" strike="noStrike" kern="1200" baseline="0">
                        <a:solidFill>
                          <a:srgbClr val="FF000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78C5FC31-4891-0D49-8917-AB93FB3E35C1}" type="VALUE">
                      <a:rPr lang="en-US">
                        <a:solidFill>
                          <a:srgbClr val="FF0000"/>
                        </a:solidFill>
                      </a:rPr>
                      <a:pPr>
                        <a:defRPr sz="1400" b="1">
                          <a:solidFill>
                            <a:srgbClr val="FF0000"/>
                          </a:solidFill>
                        </a:defRPr>
                      </a:pPr>
                      <a:t>[VALEUR]</a:t>
                    </a:fld>
                    <a:endParaRPr lang="fr-FR"/>
                  </a:p>
                </c:rich>
              </c:tx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1" i="0" u="none" strike="noStrike" kern="1200" baseline="0">
                      <a:solidFill>
                        <a:srgbClr val="FF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8-B098-264C-BE4C-25DC78BAB6B4}"/>
                </c:ext>
              </c:extLst>
            </c:dLbl>
            <c:dLbl>
              <c:idx val="2"/>
              <c:layout>
                <c:manualLayout>
                  <c:x val="5.4541232838002229E-3"/>
                  <c:y val="2.2453387121931519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400" b="1" i="0" u="none" strike="noStrike" kern="1200" baseline="0">
                        <a:solidFill>
                          <a:srgbClr val="FF000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A7BFB19F-30BE-A24F-AD06-54EAAD2C8C2A}" type="VALUE">
                      <a:rPr lang="en-US">
                        <a:solidFill>
                          <a:srgbClr val="FF0000"/>
                        </a:solidFill>
                      </a:rPr>
                      <a:pPr>
                        <a:defRPr sz="1400" b="1">
                          <a:solidFill>
                            <a:srgbClr val="FF0000"/>
                          </a:solidFill>
                        </a:defRPr>
                      </a:pPr>
                      <a:t>[VALEUR]</a:t>
                    </a:fld>
                    <a:endParaRPr lang="fr-FR"/>
                  </a:p>
                </c:rich>
              </c:tx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1" i="0" u="none" strike="noStrike" kern="1200" baseline="0">
                      <a:solidFill>
                        <a:srgbClr val="FF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3.9912062163453631E-2"/>
                      <c:h val="5.0120949697733799E-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B098-264C-BE4C-25DC78BAB6B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3"/>
              <c:pt idx="0">
                <c:v>'Graphique pluriannuel'!$D$1:$D$2</c:v>
              </c:pt>
              <c:pt idx="1">
                <c:v>'Graphique pluriannuel'!$G$1:$G$2</c:v>
              </c:pt>
              <c:pt idx="2">
                <c:v>'Graphique pluriannuel'!$J$1:$J$2)</c:v>
              </c:pt>
            </c:strLit>
          </c:cat>
          <c:val>
            <c:numRef>
              <c:f>('Graphique pluriannuel'!$D$3,'Graphique pluriannuel'!$G$3,'Graphique pluriannuel'!$J$3)</c:f>
              <c:numCache>
                <c:formatCode>0.0</c:formatCode>
                <c:ptCount val="3"/>
                <c:pt idx="0">
                  <c:v>9.0032116034064824</c:v>
                </c:pt>
                <c:pt idx="1">
                  <c:v>8.2886775995525088</c:v>
                </c:pt>
                <c:pt idx="2">
                  <c:v>8.1639046556095263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B098-264C-BE4C-25DC78BAB6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28294063"/>
        <c:axId val="1228295711"/>
      </c:lineChart>
      <c:catAx>
        <c:axId val="122829406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28295711"/>
        <c:crosses val="autoZero"/>
        <c:auto val="1"/>
        <c:lblAlgn val="ctr"/>
        <c:lblOffset val="100"/>
        <c:noMultiLvlLbl val="0"/>
      </c:catAx>
      <c:valAx>
        <c:axId val="1228295711"/>
        <c:scaling>
          <c:orientation val="minMax"/>
          <c:max val="15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2829406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8.3400474913238834E-2"/>
          <c:y val="0.2252203076917208"/>
          <c:w val="0.82399791915187504"/>
          <c:h val="4.175882433196249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kumimoji="0" lang="fr-FR" sz="1600" b="1" i="0" u="none" strike="noStrike" kern="1200" cap="none" spc="0" normalizeH="0" baseline="0" noProof="0">
                <a:ln>
                  <a:noFill/>
                </a:ln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uLnTx/>
                <a:uFillTx/>
                <a:latin typeface="Calibri Light" panose="020F0302020204030204"/>
              </a:rPr>
              <a:t>évolution de l'écart entre le taux d'encadrement </a:t>
            </a:r>
            <a:r>
              <a:rPr kumimoji="0" lang="fr-FR" sz="1600" b="0" i="0" u="none" strike="noStrike" kern="1200" cap="none" spc="0" normalizeH="0" baseline="0" noProof="0">
                <a:ln>
                  <a:noFill/>
                </a:ln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uLnTx/>
                <a:uFillTx/>
                <a:latin typeface="Calibri Light" panose="020F0302020204030204"/>
              </a:rPr>
              <a:t>(nb agents pour 100 étudiants) min et max </a:t>
            </a:r>
            <a:r>
              <a:rPr kumimoji="0" lang="fr-FR" sz="1600" b="1" i="0" u="none" strike="noStrike" kern="1200" cap="none" spc="0" normalizeH="0" baseline="0" noProof="0">
                <a:ln>
                  <a:noFill/>
                </a:ln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uLnTx/>
                <a:uFillTx/>
                <a:latin typeface="Calibri Light" panose="020F0302020204030204"/>
              </a:rPr>
              <a:t>des universités les moins et les mieux dotées </a:t>
            </a:r>
            <a:r>
              <a:rPr lang="fr-FR" sz="1600" b="0" i="0" u="none" strike="noStrike" cap="none" normalizeH="0" baseline="0">
                <a:effectLst/>
              </a:rPr>
              <a:t>suivant leurs profils </a:t>
            </a:r>
            <a:r>
              <a:rPr kumimoji="0" lang="fr-FR" sz="1600" b="0" i="0" u="none" strike="noStrike" kern="1200" cap="none" spc="0" normalizeH="0" baseline="0" noProof="0">
                <a:ln>
                  <a:noFill/>
                </a:ln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uLnTx/>
                <a:uFillTx/>
                <a:latin typeface="Calibri Light" panose="020F0302020204030204"/>
              </a:rPr>
              <a:t>entre 2019 et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cap="none" spc="0" normalizeH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j-ea"/>
              <a:cs typeface="+mj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'Graphique pluriannuel'!$C$1:$C$2</c:f>
              <c:strCache>
                <c:ptCount val="2"/>
                <c:pt idx="0">
                  <c:v>2019</c:v>
                </c:pt>
                <c:pt idx="1">
                  <c:v>SCSP/étudiant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'Graphique pluriannuel'!$A$18:$A$21</c:f>
              <c:strCache>
                <c:ptCount val="4"/>
                <c:pt idx="0">
                  <c:v>ECARTS UTALLSHS</c:v>
                </c:pt>
                <c:pt idx="1">
                  <c:v>ECARTS UPavS</c:v>
                </c:pt>
                <c:pt idx="2">
                  <c:v>ECARTS  des UPhs</c:v>
                </c:pt>
                <c:pt idx="3">
                  <c:v>ECARTS  des USTS</c:v>
                </c:pt>
              </c:strCache>
            </c:strRef>
          </c:cat>
          <c:val>
            <c:numRef>
              <c:f>'Graphique pluriannuel'!$D$18:$D$21</c:f>
              <c:numCache>
                <c:formatCode>0%</c:formatCode>
                <c:ptCount val="4"/>
                <c:pt idx="0">
                  <c:v>0.64907275320970037</c:v>
                </c:pt>
                <c:pt idx="1">
                  <c:v>1.0257428982416101</c:v>
                </c:pt>
                <c:pt idx="2">
                  <c:v>1.9303292088061108</c:v>
                </c:pt>
                <c:pt idx="3">
                  <c:v>0.3098062585316772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8F-B24D-870E-A19A849E14A2}"/>
            </c:ext>
          </c:extLst>
        </c:ser>
        <c:ser>
          <c:idx val="4"/>
          <c:order val="1"/>
          <c:tx>
            <c:strRef>
              <c:f>'Graphique pluriannuel'!$F$1:$F$2</c:f>
              <c:strCache>
                <c:ptCount val="2"/>
                <c:pt idx="0">
                  <c:v>2020</c:v>
                </c:pt>
                <c:pt idx="1">
                  <c:v>SCSP/étudiant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'Graphique pluriannuel'!$A$18:$A$21</c:f>
              <c:strCache>
                <c:ptCount val="4"/>
                <c:pt idx="0">
                  <c:v>ECARTS UTALLSHS</c:v>
                </c:pt>
                <c:pt idx="1">
                  <c:v>ECARTS UPavS</c:v>
                </c:pt>
                <c:pt idx="2">
                  <c:v>ECARTS  des UPhs</c:v>
                </c:pt>
                <c:pt idx="3">
                  <c:v>ECARTS  des USTS</c:v>
                </c:pt>
              </c:strCache>
            </c:strRef>
          </c:cat>
          <c:val>
            <c:numRef>
              <c:f>'Graphique pluriannuel'!$G$18:$G$21</c:f>
              <c:numCache>
                <c:formatCode>0%</c:formatCode>
                <c:ptCount val="4"/>
                <c:pt idx="0">
                  <c:v>0.53516884846016488</c:v>
                </c:pt>
                <c:pt idx="1">
                  <c:v>1.1309114317001709</c:v>
                </c:pt>
                <c:pt idx="2">
                  <c:v>1.8978249990156317</c:v>
                </c:pt>
                <c:pt idx="3">
                  <c:v>0.31113791498148863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D8F-B24D-870E-A19A849E14A2}"/>
            </c:ext>
          </c:extLst>
        </c:ser>
        <c:ser>
          <c:idx val="7"/>
          <c:order val="2"/>
          <c:tx>
            <c:strRef>
              <c:f>'Graphique pluriannuel'!$I$1:$I$2</c:f>
              <c:strCache>
                <c:ptCount val="2"/>
                <c:pt idx="0">
                  <c:v>2021</c:v>
                </c:pt>
                <c:pt idx="1">
                  <c:v>SCSP/étudiant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'Graphique pluriannuel'!$A$18:$A$21</c:f>
              <c:strCache>
                <c:ptCount val="4"/>
                <c:pt idx="0">
                  <c:v>ECARTS UTALLSHS</c:v>
                </c:pt>
                <c:pt idx="1">
                  <c:v>ECARTS UPavS</c:v>
                </c:pt>
                <c:pt idx="2">
                  <c:v>ECARTS  des UPhs</c:v>
                </c:pt>
                <c:pt idx="3">
                  <c:v>ECARTS  des USTS</c:v>
                </c:pt>
              </c:strCache>
            </c:strRef>
          </c:cat>
          <c:val>
            <c:numRef>
              <c:f>'Graphique pluriannuel'!$J$18:$J$21</c:f>
              <c:numCache>
                <c:formatCode>0%</c:formatCode>
                <c:ptCount val="4"/>
                <c:pt idx="0">
                  <c:v>0.56854635251928087</c:v>
                </c:pt>
                <c:pt idx="1">
                  <c:v>1.2112343538758004</c:v>
                </c:pt>
                <c:pt idx="2">
                  <c:v>2.2767319801352173</c:v>
                </c:pt>
                <c:pt idx="3">
                  <c:v>0.29501808937890539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D8F-B24D-870E-A19A849E14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99"/>
        <c:axId val="1230719231"/>
        <c:axId val="1230819023"/>
      </c:barChart>
      <c:catAx>
        <c:axId val="12307192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30819023"/>
        <c:crossesAt val="0"/>
        <c:auto val="1"/>
        <c:lblAlgn val="ctr"/>
        <c:lblOffset val="100"/>
        <c:noMultiLvlLbl val="0"/>
      </c:catAx>
      <c:valAx>
        <c:axId val="1230819023"/>
        <c:scaling>
          <c:orientation val="minMax"/>
          <c:max val="2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3071923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5.3291626335957784E-2"/>
          <c:y val="2.7523127634238132E-2"/>
          <c:w val="0.93501208435159566"/>
          <c:h val="0.47591632621978885"/>
        </c:manualLayout>
      </c:layout>
      <c:barChart>
        <c:barDir val="col"/>
        <c:grouping val="clustered"/>
        <c:varyColors val="0"/>
        <c:ser>
          <c:idx val="4"/>
          <c:order val="0"/>
          <c:tx>
            <c:strRef>
              <c:f>'2019 CNESER'!$I$3</c:f>
              <c:strCache>
                <c:ptCount val="1"/>
                <c:pt idx="0">
                  <c:v>SCSP/étudiant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ED02-4D42-A374-9A05F199A083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E-ED02-4D42-A374-9A05F199A083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ED02-4D42-A374-9A05F199A083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C-ED02-4D42-A374-9A05F199A083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ED02-4D42-A374-9A05F199A083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A-ED02-4D42-A374-9A05F199A083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ED02-4D42-A374-9A05F199A083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8-ED02-4D42-A374-9A05F199A083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ED02-4D42-A374-9A05F199A083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6-ED02-4D42-A374-9A05F199A083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ED02-4D42-A374-9A05F199A083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4-ED02-4D42-A374-9A05F199A083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ED02-4D42-A374-9A05F199A083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2-ED02-4D42-A374-9A05F199A083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ED02-4D42-A374-9A05F199A083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0-ED02-4D42-A374-9A05F199A083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ED02-4D42-A374-9A05F199A083}"/>
              </c:ext>
            </c:extLst>
          </c:dPt>
          <c:dPt>
            <c:idx val="17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E-ED02-4D42-A374-9A05F199A083}"/>
              </c:ext>
            </c:extLst>
          </c:dPt>
          <c:dPt>
            <c:idx val="18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ED02-4D42-A374-9A05F199A083}"/>
              </c:ext>
            </c:extLst>
          </c:dPt>
          <c:dPt>
            <c:idx val="19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ED02-4D42-A374-9A05F199A083}"/>
              </c:ext>
            </c:extLst>
          </c:dPt>
          <c:dPt>
            <c:idx val="20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ED02-4D42-A374-9A05F199A083}"/>
              </c:ext>
            </c:extLst>
          </c:dPt>
          <c:dPt>
            <c:idx val="21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ED02-4D42-A374-9A05F199A083}"/>
              </c:ext>
            </c:extLst>
          </c:dPt>
          <c:dPt>
            <c:idx val="22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ED02-4D42-A374-9A05F199A083}"/>
              </c:ext>
            </c:extLst>
          </c:dPt>
          <c:dPt>
            <c:idx val="23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ED02-4D42-A374-9A05F199A083}"/>
              </c:ext>
            </c:extLst>
          </c:dPt>
          <c:dPt>
            <c:idx val="24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ED02-4D42-A374-9A05F199A083}"/>
              </c:ext>
            </c:extLst>
          </c:dPt>
          <c:dPt>
            <c:idx val="2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ED02-4D42-A374-9A05F199A083}"/>
              </c:ext>
            </c:extLst>
          </c:dPt>
          <c:dPt>
            <c:idx val="26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ED02-4D42-A374-9A05F199A083}"/>
              </c:ext>
            </c:extLst>
          </c:dPt>
          <c:dPt>
            <c:idx val="27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ED02-4D42-A374-9A05F199A083}"/>
              </c:ext>
            </c:extLst>
          </c:dPt>
          <c:dPt>
            <c:idx val="28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ED02-4D42-A374-9A05F199A083}"/>
              </c:ext>
            </c:extLst>
          </c:dPt>
          <c:dPt>
            <c:idx val="29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ED02-4D42-A374-9A05F199A083}"/>
              </c:ext>
            </c:extLst>
          </c:dPt>
          <c:dPt>
            <c:idx val="51"/>
            <c:invertIfNegative val="0"/>
            <c:bubble3D val="0"/>
            <c:spPr>
              <a:solidFill>
                <a:srgbClr val="B293E9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0-ED02-4D42-A374-9A05F199A083}"/>
              </c:ext>
            </c:extLst>
          </c:dPt>
          <c:dPt>
            <c:idx val="52"/>
            <c:invertIfNegative val="0"/>
            <c:bubble3D val="0"/>
            <c:spPr>
              <a:solidFill>
                <a:srgbClr val="B293E9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1-ED02-4D42-A374-9A05F199A083}"/>
              </c:ext>
            </c:extLst>
          </c:dPt>
          <c:dPt>
            <c:idx val="53"/>
            <c:invertIfNegative val="0"/>
            <c:bubble3D val="0"/>
            <c:spPr>
              <a:solidFill>
                <a:srgbClr val="B293E9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2-ED02-4D42-A374-9A05F199A083}"/>
              </c:ext>
            </c:extLst>
          </c:dPt>
          <c:dPt>
            <c:idx val="54"/>
            <c:invertIfNegative val="0"/>
            <c:bubble3D val="0"/>
            <c:spPr>
              <a:solidFill>
                <a:srgbClr val="B293E9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3-ED02-4D42-A374-9A05F199A083}"/>
              </c:ext>
            </c:extLst>
          </c:dPt>
          <c:dPt>
            <c:idx val="55"/>
            <c:invertIfNegative val="0"/>
            <c:bubble3D val="0"/>
            <c:spPr>
              <a:solidFill>
                <a:srgbClr val="B293E9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4-ED02-4D42-A374-9A05F199A083}"/>
              </c:ext>
            </c:extLst>
          </c:dPt>
          <c:dPt>
            <c:idx val="56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5-ED02-4D42-A374-9A05F199A083}"/>
              </c:ext>
            </c:extLst>
          </c:dPt>
          <c:dPt>
            <c:idx val="57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6-ED02-4D42-A374-9A05F199A083}"/>
              </c:ext>
            </c:extLst>
          </c:dPt>
          <c:dPt>
            <c:idx val="58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7-ED02-4D42-A374-9A05F199A083}"/>
              </c:ext>
            </c:extLst>
          </c:dPt>
          <c:dPt>
            <c:idx val="59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8-ED02-4D42-A374-9A05F199A083}"/>
              </c:ext>
            </c:extLst>
          </c:dPt>
          <c:dPt>
            <c:idx val="60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9-ED02-4D42-A374-9A05F199A083}"/>
              </c:ext>
            </c:extLst>
          </c:dPt>
          <c:dPt>
            <c:idx val="6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A-ED02-4D42-A374-9A05F199A083}"/>
              </c:ext>
            </c:extLst>
          </c:dPt>
          <c:dPt>
            <c:idx val="62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B-ED02-4D42-A374-9A05F199A083}"/>
              </c:ext>
            </c:extLst>
          </c:dPt>
          <c:dPt>
            <c:idx val="63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C-ED02-4D42-A374-9A05F199A083}"/>
              </c:ext>
            </c:extLst>
          </c:dPt>
          <c:dPt>
            <c:idx val="64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D-ED02-4D42-A374-9A05F199A083}"/>
              </c:ext>
            </c:extLst>
          </c:dPt>
          <c:dPt>
            <c:idx val="65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E-ED02-4D42-A374-9A05F199A083}"/>
              </c:ext>
            </c:extLst>
          </c:dPt>
          <c:dPt>
            <c:idx val="66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F-ED02-4D42-A374-9A05F199A083}"/>
              </c:ext>
            </c:extLst>
          </c:dPt>
          <c:dPt>
            <c:idx val="67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0-ED02-4D42-A374-9A05F199A083}"/>
              </c:ext>
            </c:extLst>
          </c:dPt>
          <c:dPt>
            <c:idx val="68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1-ED02-4D42-A374-9A05F199A083}"/>
              </c:ext>
            </c:extLst>
          </c:dPt>
          <c:dPt>
            <c:idx val="69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2-ED02-4D42-A374-9A05F199A083}"/>
              </c:ext>
            </c:extLst>
          </c:dPt>
          <c:cat>
            <c:strRef>
              <c:f>'2019 CNESER'!$C$4:$C$73</c:f>
              <c:strCache>
                <c:ptCount val="70"/>
                <c:pt idx="0">
                  <c:v>ANGERS</c:v>
                </c:pt>
                <c:pt idx="1">
                  <c:v>AMIENS</c:v>
                </c:pt>
                <c:pt idx="2">
                  <c:v>SAINT-ETIENNE</c:v>
                </c:pt>
                <c:pt idx="3">
                  <c:v>GUYANE</c:v>
                </c:pt>
                <c:pt idx="4">
                  <c:v>PARIS XII Paris-Est Créteil</c:v>
                </c:pt>
                <c:pt idx="5">
                  <c:v>ROUEN</c:v>
                </c:pt>
                <c:pt idx="6">
                  <c:v>NANTES</c:v>
                </c:pt>
                <c:pt idx="7">
                  <c:v>TOURS</c:v>
                </c:pt>
                <c:pt idx="8">
                  <c:v>BRETAGNE OCCIDENTALE</c:v>
                </c:pt>
                <c:pt idx="9">
                  <c:v>LA REUNION</c:v>
                </c:pt>
                <c:pt idx="10">
                  <c:v>STRASBOURG</c:v>
                </c:pt>
                <c:pt idx="11">
                  <c:v>CAEN</c:v>
                </c:pt>
                <c:pt idx="12">
                  <c:v>LILLE</c:v>
                </c:pt>
                <c:pt idx="13">
                  <c:v>BORDEAUX</c:v>
                </c:pt>
                <c:pt idx="14">
                  <c:v>DIJON</c:v>
                </c:pt>
                <c:pt idx="15">
                  <c:v>PARIS XIII Sorbonne Paris-Nord</c:v>
                </c:pt>
                <c:pt idx="16">
                  <c:v>MONTPELLIER</c:v>
                </c:pt>
                <c:pt idx="17">
                  <c:v>REIMS</c:v>
                </c:pt>
                <c:pt idx="18">
                  <c:v>LIMOGES</c:v>
                </c:pt>
                <c:pt idx="19">
                  <c:v>CLERMONT AUVERGNE</c:v>
                </c:pt>
                <c:pt idx="20">
                  <c:v>VERSAILLES-SAINT-QUENTIN</c:v>
                </c:pt>
                <c:pt idx="21">
                  <c:v>NICE COTE D'AZUR</c:v>
                </c:pt>
                <c:pt idx="22">
                  <c:v>POITIERS</c:v>
                </c:pt>
                <c:pt idx="23">
                  <c:v>BESANCON</c:v>
                </c:pt>
                <c:pt idx="24">
                  <c:v>AIX-MARSEILLE</c:v>
                </c:pt>
                <c:pt idx="25">
                  <c:v>ANTILLES</c:v>
                </c:pt>
                <c:pt idx="26">
                  <c:v>LORRAINE</c:v>
                </c:pt>
                <c:pt idx="27">
                  <c:v>GRENOBLE ALPES</c:v>
                </c:pt>
                <c:pt idx="28">
                  <c:v>SORBONNE UNIVERSITE</c:v>
                </c:pt>
                <c:pt idx="29">
                  <c:v>PARIS VII Diderot</c:v>
                </c:pt>
                <c:pt idx="30">
                  <c:v>NIMES</c:v>
                </c:pt>
                <c:pt idx="31">
                  <c:v>CERGY-PONTOISE</c:v>
                </c:pt>
                <c:pt idx="32">
                  <c:v>MARNE-LA-VALLEE Gustave Eiffel</c:v>
                </c:pt>
                <c:pt idx="33">
                  <c:v>PERPIGNAN</c:v>
                </c:pt>
                <c:pt idx="34">
                  <c:v>CHAMBERY Savoie Mont-Blanc</c:v>
                </c:pt>
                <c:pt idx="35">
                  <c:v>AVIGNON</c:v>
                </c:pt>
                <c:pt idx="36">
                  <c:v>BRETAGNE SUD</c:v>
                </c:pt>
                <c:pt idx="37">
                  <c:v>ARTOIS</c:v>
                </c:pt>
                <c:pt idx="38">
                  <c:v>VALENCIENNES Polytechnique des Hauts-de-France</c:v>
                </c:pt>
                <c:pt idx="39">
                  <c:v>TOULON</c:v>
                </c:pt>
                <c:pt idx="40">
                  <c:v>LA ROCHELLE</c:v>
                </c:pt>
                <c:pt idx="41">
                  <c:v>MULHOUSE</c:v>
                </c:pt>
                <c:pt idx="42">
                  <c:v>PAU</c:v>
                </c:pt>
                <c:pt idx="43">
                  <c:v>ORLEANS</c:v>
                </c:pt>
                <c:pt idx="44">
                  <c:v>LE MANS</c:v>
                </c:pt>
                <c:pt idx="45">
                  <c:v>EVRY-VAL D'ESSONNE</c:v>
                </c:pt>
                <c:pt idx="46">
                  <c:v>LITTORAL</c:v>
                </c:pt>
                <c:pt idx="47">
                  <c:v>LE HAVRE</c:v>
                </c:pt>
                <c:pt idx="48">
                  <c:v>NOUVELLE-CALEDONIE</c:v>
                </c:pt>
                <c:pt idx="49">
                  <c:v>CORTE</c:v>
                </c:pt>
                <c:pt idx="50">
                  <c:v>POLYNESIE FRANCAISE</c:v>
                </c:pt>
                <c:pt idx="51">
                  <c:v>LYON I Claude Bernard</c:v>
                </c:pt>
                <c:pt idx="52">
                  <c:v>PARIS V Descartes</c:v>
                </c:pt>
                <c:pt idx="53">
                  <c:v>RENNES I</c:v>
                </c:pt>
                <c:pt idx="54">
                  <c:v>PARIS XI Paris Sud + Saclay</c:v>
                </c:pt>
                <c:pt idx="55">
                  <c:v>TOULOUSE III Paul sabatier</c:v>
                </c:pt>
                <c:pt idx="56">
                  <c:v>LYON II Louis Lumière</c:v>
                </c:pt>
                <c:pt idx="57">
                  <c:v>RENNES II</c:v>
                </c:pt>
                <c:pt idx="58">
                  <c:v>MONTPELLIER III Paul valéry</c:v>
                </c:pt>
                <c:pt idx="59">
                  <c:v>BORDEAUX III montaigne</c:v>
                </c:pt>
                <c:pt idx="60">
                  <c:v>PARIS VIII Vincennes- Saint Denis</c:v>
                </c:pt>
                <c:pt idx="61">
                  <c:v>TOULOUSE II Jean Jaures</c:v>
                </c:pt>
                <c:pt idx="62">
                  <c:v>PARIS X Nanterre</c:v>
                </c:pt>
                <c:pt idx="63">
                  <c:v>PARIS III Sorbonne Nouvelle</c:v>
                </c:pt>
                <c:pt idx="64">
                  <c:v>LYON III Jean Moulin</c:v>
                </c:pt>
                <c:pt idx="65">
                  <c:v>PARIS II Panthéon-Assas</c:v>
                </c:pt>
                <c:pt idx="66">
                  <c:v>TOULOUSE I Capitol</c:v>
                </c:pt>
                <c:pt idx="67">
                  <c:v>PARIS I panthéon-Sorbonne</c:v>
                </c:pt>
                <c:pt idx="68">
                  <c:v>PARIS DAUPHINE UPSL</c:v>
                </c:pt>
                <c:pt idx="69">
                  <c:v>MOYENNE NATIONALE</c:v>
                </c:pt>
              </c:strCache>
            </c:strRef>
          </c:cat>
          <c:val>
            <c:numRef>
              <c:f>'2019 CNESER'!$I$4:$I$73</c:f>
              <c:numCache>
                <c:formatCode>_-* #,##0\ [$€-40C]_-;\-* #,##0\ [$€-40C]_-;_-* "-"??\ [$€-40C]_-;_-@_-</c:formatCode>
                <c:ptCount val="70"/>
                <c:pt idx="0">
                  <c:v>5430.3182509010376</c:v>
                </c:pt>
                <c:pt idx="1">
                  <c:v>5766.8373670635619</c:v>
                </c:pt>
                <c:pt idx="2">
                  <c:v>5783.9684844573521</c:v>
                </c:pt>
                <c:pt idx="3">
                  <c:v>5980.0049986114964</c:v>
                </c:pt>
                <c:pt idx="4">
                  <c:v>6001.3504733674117</c:v>
                </c:pt>
                <c:pt idx="5">
                  <c:v>6092.0361276039048</c:v>
                </c:pt>
                <c:pt idx="6">
                  <c:v>6361.833073999439</c:v>
                </c:pt>
                <c:pt idx="7">
                  <c:v>6515.2246941045605</c:v>
                </c:pt>
                <c:pt idx="8">
                  <c:v>6581.61080417434</c:v>
                </c:pt>
                <c:pt idx="9">
                  <c:v>6647.743615125718</c:v>
                </c:pt>
                <c:pt idx="10">
                  <c:v>6754.579813276775</c:v>
                </c:pt>
                <c:pt idx="11">
                  <c:v>6797.3353352997619</c:v>
                </c:pt>
                <c:pt idx="12">
                  <c:v>6827.8766393816759</c:v>
                </c:pt>
                <c:pt idx="13">
                  <c:v>6836.2526478107375</c:v>
                </c:pt>
                <c:pt idx="14">
                  <c:v>6916.349444074217</c:v>
                </c:pt>
                <c:pt idx="15">
                  <c:v>7058.1625913434518</c:v>
                </c:pt>
                <c:pt idx="16">
                  <c:v>7190.1620712193471</c:v>
                </c:pt>
                <c:pt idx="17">
                  <c:v>7233.8832279814578</c:v>
                </c:pt>
                <c:pt idx="18">
                  <c:v>7379.7148409893989</c:v>
                </c:pt>
                <c:pt idx="19">
                  <c:v>7500.0898306676263</c:v>
                </c:pt>
                <c:pt idx="20">
                  <c:v>7572.4837401077339</c:v>
                </c:pt>
                <c:pt idx="21">
                  <c:v>7651.3406460945034</c:v>
                </c:pt>
                <c:pt idx="22">
                  <c:v>7704.2688335358444</c:v>
                </c:pt>
                <c:pt idx="23">
                  <c:v>7907.0053679898292</c:v>
                </c:pt>
                <c:pt idx="24">
                  <c:v>7907.8092169619431</c:v>
                </c:pt>
                <c:pt idx="25">
                  <c:v>8073.5161017744813</c:v>
                </c:pt>
                <c:pt idx="26">
                  <c:v>8133.403611444578</c:v>
                </c:pt>
                <c:pt idx="27">
                  <c:v>8409.1030334118313</c:v>
                </c:pt>
                <c:pt idx="28">
                  <c:v>9945.0271988412333</c:v>
                </c:pt>
                <c:pt idx="29">
                  <c:v>10629.658577785101</c:v>
                </c:pt>
                <c:pt idx="30">
                  <c:v>4195.5297513321493</c:v>
                </c:pt>
                <c:pt idx="31">
                  <c:v>6074.9826795472291</c:v>
                </c:pt>
                <c:pt idx="32">
                  <c:v>6786.2084392475854</c:v>
                </c:pt>
                <c:pt idx="33">
                  <c:v>6857.7900871336424</c:v>
                </c:pt>
                <c:pt idx="34">
                  <c:v>6893.3940192829168</c:v>
                </c:pt>
                <c:pt idx="35">
                  <c:v>7199.2171412136904</c:v>
                </c:pt>
                <c:pt idx="36">
                  <c:v>7206.6331912028727</c:v>
                </c:pt>
                <c:pt idx="37">
                  <c:v>7363.5084084604714</c:v>
                </c:pt>
                <c:pt idx="38">
                  <c:v>7404.1374065261725</c:v>
                </c:pt>
                <c:pt idx="39">
                  <c:v>7426.6051830867691</c:v>
                </c:pt>
                <c:pt idx="40">
                  <c:v>7477.7634620113104</c:v>
                </c:pt>
                <c:pt idx="41">
                  <c:v>7484.903779040782</c:v>
                </c:pt>
                <c:pt idx="42">
                  <c:v>7533.6822942235312</c:v>
                </c:pt>
                <c:pt idx="43">
                  <c:v>7556.4748057833403</c:v>
                </c:pt>
                <c:pt idx="44">
                  <c:v>7598.461324544237</c:v>
                </c:pt>
                <c:pt idx="45">
                  <c:v>7733.4624377570899</c:v>
                </c:pt>
                <c:pt idx="46">
                  <c:v>7894.2618733509235</c:v>
                </c:pt>
                <c:pt idx="47">
                  <c:v>8238.5337270341206</c:v>
                </c:pt>
                <c:pt idx="48">
                  <c:v>9065.129943502825</c:v>
                </c:pt>
                <c:pt idx="49">
                  <c:v>9518.8689308777812</c:v>
                </c:pt>
                <c:pt idx="50">
                  <c:v>9578.6575682382136</c:v>
                </c:pt>
                <c:pt idx="51">
                  <c:v>7356.177715228574</c:v>
                </c:pt>
                <c:pt idx="52">
                  <c:v>7565.7350413799668</c:v>
                </c:pt>
                <c:pt idx="53">
                  <c:v>8230.0094172134304</c:v>
                </c:pt>
                <c:pt idx="54">
                  <c:v>8410.9246470136477</c:v>
                </c:pt>
                <c:pt idx="55">
                  <c:v>9810.9085638120632</c:v>
                </c:pt>
                <c:pt idx="56">
                  <c:v>4323.2095847574719</c:v>
                </c:pt>
                <c:pt idx="57">
                  <c:v>4640.608958599666</c:v>
                </c:pt>
                <c:pt idx="58">
                  <c:v>4781.4802210736398</c:v>
                </c:pt>
                <c:pt idx="59">
                  <c:v>5147.7691609389185</c:v>
                </c:pt>
                <c:pt idx="60">
                  <c:v>5189.432335940156</c:v>
                </c:pt>
                <c:pt idx="61">
                  <c:v>5455.4042965430508</c:v>
                </c:pt>
                <c:pt idx="62">
                  <c:v>5685.5015104726099</c:v>
                </c:pt>
                <c:pt idx="63">
                  <c:v>5856.2659554673446</c:v>
                </c:pt>
                <c:pt idx="64">
                  <c:v>3329.1097088088968</c:v>
                </c:pt>
                <c:pt idx="65">
                  <c:v>4068.0075901328273</c:v>
                </c:pt>
                <c:pt idx="66">
                  <c:v>4394.6358229026582</c:v>
                </c:pt>
                <c:pt idx="67">
                  <c:v>4687.7293054358333</c:v>
                </c:pt>
                <c:pt idx="68">
                  <c:v>5553.1513944223107</c:v>
                </c:pt>
                <c:pt idx="69">
                  <c:v>6933.6735106048127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D62-024A-ABF0-4B671EFF82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90705056"/>
        <c:axId val="851943024"/>
      </c:barChart>
      <c:catAx>
        <c:axId val="8907050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51943024"/>
        <c:crosses val="autoZero"/>
        <c:auto val="1"/>
        <c:lblAlgn val="ctr"/>
        <c:lblOffset val="100"/>
        <c:noMultiLvlLbl val="0"/>
      </c:catAx>
      <c:valAx>
        <c:axId val="851943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\ [$€-40C]_-;\-* #,##0\ [$€-40C]_-;_-* &quot;-&quot;??\ [$€-40C]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90705056"/>
        <c:crosses val="autoZero"/>
        <c:crossBetween val="between"/>
      </c:valAx>
      <c:spPr>
        <a:noFill/>
        <a:ln>
          <a:noFill/>
        </a:ln>
        <a:effectLst/>
      </c:spPr>
    </c:plotArea>
    <c:plotVisOnly val="0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5"/>
          <c:order val="0"/>
          <c:tx>
            <c:strRef>
              <c:f>'2019 CNESER'!$J$3</c:f>
              <c:strCache>
                <c:ptCount val="1"/>
                <c:pt idx="0">
                  <c:v>ETPT/100 étudiants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'2019 CNESER'!$C$4:$C$73</c:f>
              <c:strCache>
                <c:ptCount val="70"/>
                <c:pt idx="0">
                  <c:v>ANGERS</c:v>
                </c:pt>
                <c:pt idx="1">
                  <c:v>AMIENS</c:v>
                </c:pt>
                <c:pt idx="2">
                  <c:v>SAINT-ETIENNE</c:v>
                </c:pt>
                <c:pt idx="3">
                  <c:v>GUYANE</c:v>
                </c:pt>
                <c:pt idx="4">
                  <c:v>PARIS XII Paris-Est Créteil</c:v>
                </c:pt>
                <c:pt idx="5">
                  <c:v>ROUEN</c:v>
                </c:pt>
                <c:pt idx="6">
                  <c:v>NANTES</c:v>
                </c:pt>
                <c:pt idx="7">
                  <c:v>TOURS</c:v>
                </c:pt>
                <c:pt idx="8">
                  <c:v>BRETAGNE OCCIDENTALE</c:v>
                </c:pt>
                <c:pt idx="9">
                  <c:v>LA REUNION</c:v>
                </c:pt>
                <c:pt idx="10">
                  <c:v>STRASBOURG</c:v>
                </c:pt>
                <c:pt idx="11">
                  <c:v>CAEN</c:v>
                </c:pt>
                <c:pt idx="12">
                  <c:v>LILLE</c:v>
                </c:pt>
                <c:pt idx="13">
                  <c:v>BORDEAUX</c:v>
                </c:pt>
                <c:pt idx="14">
                  <c:v>DIJON</c:v>
                </c:pt>
                <c:pt idx="15">
                  <c:v>PARIS XIII Sorbonne Paris-Nord</c:v>
                </c:pt>
                <c:pt idx="16">
                  <c:v>MONTPELLIER</c:v>
                </c:pt>
                <c:pt idx="17">
                  <c:v>REIMS</c:v>
                </c:pt>
                <c:pt idx="18">
                  <c:v>LIMOGES</c:v>
                </c:pt>
                <c:pt idx="19">
                  <c:v>CLERMONT AUVERGNE</c:v>
                </c:pt>
                <c:pt idx="20">
                  <c:v>VERSAILLES-SAINT-QUENTIN</c:v>
                </c:pt>
                <c:pt idx="21">
                  <c:v>NICE COTE D'AZUR</c:v>
                </c:pt>
                <c:pt idx="22">
                  <c:v>POITIERS</c:v>
                </c:pt>
                <c:pt idx="23">
                  <c:v>BESANCON</c:v>
                </c:pt>
                <c:pt idx="24">
                  <c:v>AIX-MARSEILLE</c:v>
                </c:pt>
                <c:pt idx="25">
                  <c:v>ANTILLES</c:v>
                </c:pt>
                <c:pt idx="26">
                  <c:v>LORRAINE</c:v>
                </c:pt>
                <c:pt idx="27">
                  <c:v>GRENOBLE ALPES</c:v>
                </c:pt>
                <c:pt idx="28">
                  <c:v>SORBONNE UNIVERSITE</c:v>
                </c:pt>
                <c:pt idx="29">
                  <c:v>PARIS VII Diderot</c:v>
                </c:pt>
                <c:pt idx="30">
                  <c:v>NIMES</c:v>
                </c:pt>
                <c:pt idx="31">
                  <c:v>CERGY-PONTOISE</c:v>
                </c:pt>
                <c:pt idx="32">
                  <c:v>MARNE-LA-VALLEE Gustave Eiffel</c:v>
                </c:pt>
                <c:pt idx="33">
                  <c:v>PERPIGNAN</c:v>
                </c:pt>
                <c:pt idx="34">
                  <c:v>CHAMBERY Savoie Mont-Blanc</c:v>
                </c:pt>
                <c:pt idx="35">
                  <c:v>AVIGNON</c:v>
                </c:pt>
                <c:pt idx="36">
                  <c:v>BRETAGNE SUD</c:v>
                </c:pt>
                <c:pt idx="37">
                  <c:v>ARTOIS</c:v>
                </c:pt>
                <c:pt idx="38">
                  <c:v>VALENCIENNES Polytechnique des Hauts-de-France</c:v>
                </c:pt>
                <c:pt idx="39">
                  <c:v>TOULON</c:v>
                </c:pt>
                <c:pt idx="40">
                  <c:v>LA ROCHELLE</c:v>
                </c:pt>
                <c:pt idx="41">
                  <c:v>MULHOUSE</c:v>
                </c:pt>
                <c:pt idx="42">
                  <c:v>PAU</c:v>
                </c:pt>
                <c:pt idx="43">
                  <c:v>ORLEANS</c:v>
                </c:pt>
                <c:pt idx="44">
                  <c:v>LE MANS</c:v>
                </c:pt>
                <c:pt idx="45">
                  <c:v>EVRY-VAL D'ESSONNE</c:v>
                </c:pt>
                <c:pt idx="46">
                  <c:v>LITTORAL</c:v>
                </c:pt>
                <c:pt idx="47">
                  <c:v>LE HAVRE</c:v>
                </c:pt>
                <c:pt idx="48">
                  <c:v>NOUVELLE-CALEDONIE</c:v>
                </c:pt>
                <c:pt idx="49">
                  <c:v>CORTE</c:v>
                </c:pt>
                <c:pt idx="50">
                  <c:v>POLYNESIE FRANCAISE</c:v>
                </c:pt>
                <c:pt idx="51">
                  <c:v>LYON I Claude Bernard</c:v>
                </c:pt>
                <c:pt idx="52">
                  <c:v>PARIS V Descartes</c:v>
                </c:pt>
                <c:pt idx="53">
                  <c:v>RENNES I</c:v>
                </c:pt>
                <c:pt idx="54">
                  <c:v>PARIS XI Paris Sud + Saclay</c:v>
                </c:pt>
                <c:pt idx="55">
                  <c:v>TOULOUSE III Paul sabatier</c:v>
                </c:pt>
                <c:pt idx="56">
                  <c:v>LYON II Louis Lumière</c:v>
                </c:pt>
                <c:pt idx="57">
                  <c:v>RENNES II</c:v>
                </c:pt>
                <c:pt idx="58">
                  <c:v>MONTPELLIER III Paul valéry</c:v>
                </c:pt>
                <c:pt idx="59">
                  <c:v>BORDEAUX III montaigne</c:v>
                </c:pt>
                <c:pt idx="60">
                  <c:v>PARIS VIII Vincennes- Saint Denis</c:v>
                </c:pt>
                <c:pt idx="61">
                  <c:v>TOULOUSE II Jean Jaures</c:v>
                </c:pt>
                <c:pt idx="62">
                  <c:v>PARIS X Nanterre</c:v>
                </c:pt>
                <c:pt idx="63">
                  <c:v>PARIS III Sorbonne Nouvelle</c:v>
                </c:pt>
                <c:pt idx="64">
                  <c:v>LYON III Jean Moulin</c:v>
                </c:pt>
                <c:pt idx="65">
                  <c:v>PARIS II Panthéon-Assas</c:v>
                </c:pt>
                <c:pt idx="66">
                  <c:v>TOULOUSE I Capitol</c:v>
                </c:pt>
                <c:pt idx="67">
                  <c:v>PARIS I panthéon-Sorbonne</c:v>
                </c:pt>
                <c:pt idx="68">
                  <c:v>PARIS DAUPHINE UPSL</c:v>
                </c:pt>
                <c:pt idx="69">
                  <c:v>MOYENNE NATIONALE</c:v>
                </c:pt>
              </c:strCache>
            </c:strRef>
          </c:cat>
          <c:val>
            <c:numRef>
              <c:f>'2019 CNESER'!$J$4:$J$73</c:f>
              <c:numCache>
                <c:formatCode>0.0</c:formatCode>
                <c:ptCount val="70"/>
                <c:pt idx="0">
                  <c:v>6.7827521820313512</c:v>
                </c:pt>
                <c:pt idx="1">
                  <c:v>7.3561106596473875</c:v>
                </c:pt>
                <c:pt idx="2">
                  <c:v>7.4002366354738083</c:v>
                </c:pt>
                <c:pt idx="3">
                  <c:v>6.8036656484309912</c:v>
                </c:pt>
                <c:pt idx="4">
                  <c:v>7.6494963854692841</c:v>
                </c:pt>
                <c:pt idx="5">
                  <c:v>7.903123008285533</c:v>
                </c:pt>
                <c:pt idx="6">
                  <c:v>8.4687396372726589</c:v>
                </c:pt>
                <c:pt idx="7">
                  <c:v>8.3823295725409182</c:v>
                </c:pt>
                <c:pt idx="8">
                  <c:v>8.4407612031921424</c:v>
                </c:pt>
                <c:pt idx="9">
                  <c:v>6.6719461492773702</c:v>
                </c:pt>
                <c:pt idx="10">
                  <c:v>9.1359590873951912</c:v>
                </c:pt>
                <c:pt idx="11">
                  <c:v>8.8418209602331288</c:v>
                </c:pt>
                <c:pt idx="12">
                  <c:v>8.8899370112284331</c:v>
                </c:pt>
                <c:pt idx="13">
                  <c:v>9.0654546930162727</c:v>
                </c:pt>
                <c:pt idx="14">
                  <c:v>8.9614534740977163</c:v>
                </c:pt>
                <c:pt idx="15">
                  <c:v>9.2982949222409594</c:v>
                </c:pt>
                <c:pt idx="16">
                  <c:v>9.7363770606889535</c:v>
                </c:pt>
                <c:pt idx="17">
                  <c:v>9.5280235988200594</c:v>
                </c:pt>
                <c:pt idx="18">
                  <c:v>9.5170789163722027</c:v>
                </c:pt>
                <c:pt idx="19">
                  <c:v>9.4682149676046201</c:v>
                </c:pt>
                <c:pt idx="20">
                  <c:v>9.3968211744363899</c:v>
                </c:pt>
                <c:pt idx="21">
                  <c:v>9.5146255223400846</c:v>
                </c:pt>
                <c:pt idx="22">
                  <c:v>9.8572296476306196</c:v>
                </c:pt>
                <c:pt idx="23">
                  <c:v>10.778358525215426</c:v>
                </c:pt>
                <c:pt idx="24">
                  <c:v>10.43740198437961</c:v>
                </c:pt>
                <c:pt idx="25">
                  <c:v>9.1165148812318098</c:v>
                </c:pt>
                <c:pt idx="26">
                  <c:v>10.349139655862345</c:v>
                </c:pt>
                <c:pt idx="27">
                  <c:v>10.944531231784374</c:v>
                </c:pt>
                <c:pt idx="28">
                  <c:v>13.758348756739359</c:v>
                </c:pt>
                <c:pt idx="29">
                  <c:v>13.740112063282794</c:v>
                </c:pt>
                <c:pt idx="30">
                  <c:v>4.8401420959147421</c:v>
                </c:pt>
                <c:pt idx="31">
                  <c:v>7.581967213114754</c:v>
                </c:pt>
                <c:pt idx="32">
                  <c:v>8.4392475851550586</c:v>
                </c:pt>
                <c:pt idx="33">
                  <c:v>8.6115197465203117</c:v>
                </c:pt>
                <c:pt idx="34">
                  <c:v>8.3760168725519737</c:v>
                </c:pt>
                <c:pt idx="35">
                  <c:v>9.1889559965487493</c:v>
                </c:pt>
                <c:pt idx="36">
                  <c:v>9.1561938958707358</c:v>
                </c:pt>
                <c:pt idx="37">
                  <c:v>9.6567267683772542</c:v>
                </c:pt>
                <c:pt idx="38">
                  <c:v>10.010197144799456</c:v>
                </c:pt>
                <c:pt idx="39">
                  <c:v>8.9287587871157275</c:v>
                </c:pt>
                <c:pt idx="40">
                  <c:v>9.171379395131547</c:v>
                </c:pt>
                <c:pt idx="41">
                  <c:v>9.3728188254063216</c:v>
                </c:pt>
                <c:pt idx="42">
                  <c:v>9.2456226476845043</c:v>
                </c:pt>
                <c:pt idx="43">
                  <c:v>9.7270176952956415</c:v>
                </c:pt>
                <c:pt idx="44">
                  <c:v>9.5684416520753928</c:v>
                </c:pt>
                <c:pt idx="45">
                  <c:v>10.229486901926824</c:v>
                </c:pt>
                <c:pt idx="46">
                  <c:v>10.29023746701847</c:v>
                </c:pt>
                <c:pt idx="47">
                  <c:v>10.026246719160104</c:v>
                </c:pt>
                <c:pt idx="48">
                  <c:v>8.0093054170820874</c:v>
                </c:pt>
                <c:pt idx="49">
                  <c:v>14.183209758430998</c:v>
                </c:pt>
                <c:pt idx="50">
                  <c:v>7.7986529599432819</c:v>
                </c:pt>
                <c:pt idx="51">
                  <c:v>9.9752499272056685</c:v>
                </c:pt>
                <c:pt idx="52">
                  <c:v>10.279988584836858</c:v>
                </c:pt>
                <c:pt idx="53">
                  <c:v>11.520648398301814</c:v>
                </c:pt>
                <c:pt idx="54">
                  <c:v>11.694334495185208</c:v>
                </c:pt>
                <c:pt idx="55">
                  <c:v>13.065644785071642</c:v>
                </c:pt>
                <c:pt idx="56">
                  <c:v>5.6686786415533419</c:v>
                </c:pt>
                <c:pt idx="57">
                  <c:v>5.9789556495230602</c:v>
                </c:pt>
                <c:pt idx="58">
                  <c:v>6.3712194872319747</c:v>
                </c:pt>
                <c:pt idx="59">
                  <c:v>6.3869796394760732</c:v>
                </c:pt>
                <c:pt idx="60">
                  <c:v>6.5028901734104041</c:v>
                </c:pt>
                <c:pt idx="61">
                  <c:v>6.9376933274414494</c:v>
                </c:pt>
                <c:pt idx="62">
                  <c:v>7.2301288936627284</c:v>
                </c:pt>
                <c:pt idx="63">
                  <c:v>7.2753209700427961</c:v>
                </c:pt>
                <c:pt idx="64">
                  <c:v>4.4117647058823533</c:v>
                </c:pt>
                <c:pt idx="65">
                  <c:v>5.3245931803806563</c:v>
                </c:pt>
                <c:pt idx="66">
                  <c:v>5.3274025033619532</c:v>
                </c:pt>
                <c:pt idx="67">
                  <c:v>6.1123736384295899</c:v>
                </c:pt>
                <c:pt idx="68">
                  <c:v>7.0764560804401437</c:v>
                </c:pt>
                <c:pt idx="69">
                  <c:v>9.0032116034064824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D0D-754C-8B6D-32248A4181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90705056"/>
        <c:axId val="851943024"/>
      </c:barChart>
      <c:catAx>
        <c:axId val="8907050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51943024"/>
        <c:crosses val="autoZero"/>
        <c:auto val="1"/>
        <c:lblAlgn val="ctr"/>
        <c:lblOffset val="100"/>
        <c:noMultiLvlLbl val="0"/>
      </c:catAx>
      <c:valAx>
        <c:axId val="851943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907050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0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4"/>
          <c:order val="0"/>
          <c:tx>
            <c:strRef>
              <c:f>'2019 CNESER'!$K$3</c:f>
              <c:strCache>
                <c:ptCount val="1"/>
                <c:pt idx="0">
                  <c:v>ECART DE SCSP CORIGÉE PAR LA VARIABLE DÉMOGRAPHIQUE / MOYENNE DE SON TYPE D'UNIVERSITÉ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'2019 CNESER'!$C$4:$C$72</c:f>
              <c:strCache>
                <c:ptCount val="69"/>
                <c:pt idx="0">
                  <c:v>ANGERS</c:v>
                </c:pt>
                <c:pt idx="1">
                  <c:v>AMIENS</c:v>
                </c:pt>
                <c:pt idx="2">
                  <c:v>SAINT-ETIENNE</c:v>
                </c:pt>
                <c:pt idx="3">
                  <c:v>GUYANE</c:v>
                </c:pt>
                <c:pt idx="4">
                  <c:v>PARIS XII Paris-Est Créteil</c:v>
                </c:pt>
                <c:pt idx="5">
                  <c:v>ROUEN</c:v>
                </c:pt>
                <c:pt idx="6">
                  <c:v>NANTES</c:v>
                </c:pt>
                <c:pt idx="7">
                  <c:v>TOURS</c:v>
                </c:pt>
                <c:pt idx="8">
                  <c:v>BRETAGNE OCCIDENTALE</c:v>
                </c:pt>
                <c:pt idx="9">
                  <c:v>LA REUNION</c:v>
                </c:pt>
                <c:pt idx="10">
                  <c:v>STRASBOURG</c:v>
                </c:pt>
                <c:pt idx="11">
                  <c:v>CAEN</c:v>
                </c:pt>
                <c:pt idx="12">
                  <c:v>LILLE</c:v>
                </c:pt>
                <c:pt idx="13">
                  <c:v>BORDEAUX</c:v>
                </c:pt>
                <c:pt idx="14">
                  <c:v>DIJON</c:v>
                </c:pt>
                <c:pt idx="15">
                  <c:v>PARIS XIII Sorbonne Paris-Nord</c:v>
                </c:pt>
                <c:pt idx="16">
                  <c:v>MONTPELLIER</c:v>
                </c:pt>
                <c:pt idx="17">
                  <c:v>REIMS</c:v>
                </c:pt>
                <c:pt idx="18">
                  <c:v>LIMOGES</c:v>
                </c:pt>
                <c:pt idx="19">
                  <c:v>CLERMONT AUVERGNE</c:v>
                </c:pt>
                <c:pt idx="20">
                  <c:v>VERSAILLES-SAINT-QUENTIN</c:v>
                </c:pt>
                <c:pt idx="21">
                  <c:v>NICE COTE D'AZUR</c:v>
                </c:pt>
                <c:pt idx="22">
                  <c:v>POITIERS</c:v>
                </c:pt>
                <c:pt idx="23">
                  <c:v>BESANCON</c:v>
                </c:pt>
                <c:pt idx="24">
                  <c:v>AIX-MARSEILLE</c:v>
                </c:pt>
                <c:pt idx="25">
                  <c:v>ANTILLES</c:v>
                </c:pt>
                <c:pt idx="26">
                  <c:v>LORRAINE</c:v>
                </c:pt>
                <c:pt idx="27">
                  <c:v>GRENOBLE ALPES</c:v>
                </c:pt>
                <c:pt idx="28">
                  <c:v>SORBONNE UNIVERSITE</c:v>
                </c:pt>
                <c:pt idx="29">
                  <c:v>PARIS VII Diderot</c:v>
                </c:pt>
                <c:pt idx="30">
                  <c:v>NIMES</c:v>
                </c:pt>
                <c:pt idx="31">
                  <c:v>CERGY-PONTOISE</c:v>
                </c:pt>
                <c:pt idx="32">
                  <c:v>MARNE-LA-VALLEE Gustave Eiffel</c:v>
                </c:pt>
                <c:pt idx="33">
                  <c:v>PERPIGNAN</c:v>
                </c:pt>
                <c:pt idx="34">
                  <c:v>CHAMBERY Savoie Mont-Blanc</c:v>
                </c:pt>
                <c:pt idx="35">
                  <c:v>AVIGNON</c:v>
                </c:pt>
                <c:pt idx="36">
                  <c:v>BRETAGNE SUD</c:v>
                </c:pt>
                <c:pt idx="37">
                  <c:v>ARTOIS</c:v>
                </c:pt>
                <c:pt idx="38">
                  <c:v>VALENCIENNES Polytechnique des Hauts-de-France</c:v>
                </c:pt>
                <c:pt idx="39">
                  <c:v>TOULON</c:v>
                </c:pt>
                <c:pt idx="40">
                  <c:v>LA ROCHELLE</c:v>
                </c:pt>
                <c:pt idx="41">
                  <c:v>MULHOUSE</c:v>
                </c:pt>
                <c:pt idx="42">
                  <c:v>PAU</c:v>
                </c:pt>
                <c:pt idx="43">
                  <c:v>ORLEANS</c:v>
                </c:pt>
                <c:pt idx="44">
                  <c:v>LE MANS</c:v>
                </c:pt>
                <c:pt idx="45">
                  <c:v>EVRY-VAL D'ESSONNE</c:v>
                </c:pt>
                <c:pt idx="46">
                  <c:v>LITTORAL</c:v>
                </c:pt>
                <c:pt idx="47">
                  <c:v>LE HAVRE</c:v>
                </c:pt>
                <c:pt idx="48">
                  <c:v>NOUVELLE-CALEDONIE</c:v>
                </c:pt>
                <c:pt idx="49">
                  <c:v>CORTE</c:v>
                </c:pt>
                <c:pt idx="50">
                  <c:v>POLYNESIE FRANCAISE</c:v>
                </c:pt>
                <c:pt idx="51">
                  <c:v>LYON I Claude Bernard</c:v>
                </c:pt>
                <c:pt idx="52">
                  <c:v>PARIS V Descartes</c:v>
                </c:pt>
                <c:pt idx="53">
                  <c:v>RENNES I</c:v>
                </c:pt>
                <c:pt idx="54">
                  <c:v>PARIS XI Paris Sud + Saclay</c:v>
                </c:pt>
                <c:pt idx="55">
                  <c:v>TOULOUSE III Paul sabatier</c:v>
                </c:pt>
                <c:pt idx="56">
                  <c:v>LYON II Louis Lumière</c:v>
                </c:pt>
                <c:pt idx="57">
                  <c:v>RENNES II</c:v>
                </c:pt>
                <c:pt idx="58">
                  <c:v>MONTPELLIER III Paul valéry</c:v>
                </c:pt>
                <c:pt idx="59">
                  <c:v>BORDEAUX III montaigne</c:v>
                </c:pt>
                <c:pt idx="60">
                  <c:v>PARIS VIII Vincennes- Saint Denis</c:v>
                </c:pt>
                <c:pt idx="61">
                  <c:v>TOULOUSE II Jean Jaures</c:v>
                </c:pt>
                <c:pt idx="62">
                  <c:v>PARIS X Nanterre</c:v>
                </c:pt>
                <c:pt idx="63">
                  <c:v>PARIS III Sorbonne Nouvelle</c:v>
                </c:pt>
                <c:pt idx="64">
                  <c:v>LYON III Jean Moulin</c:v>
                </c:pt>
                <c:pt idx="65">
                  <c:v>PARIS II Panthéon-Assas</c:v>
                </c:pt>
                <c:pt idx="66">
                  <c:v>TOULOUSE I Capitol</c:v>
                </c:pt>
                <c:pt idx="67">
                  <c:v>PARIS I panthéon-Sorbonne</c:v>
                </c:pt>
                <c:pt idx="68">
                  <c:v>PARIS DAUPHINE UPSL</c:v>
                </c:pt>
              </c:strCache>
            </c:strRef>
          </c:cat>
          <c:val>
            <c:numRef>
              <c:f>'2019 CNESER'!$K$4:$K$72</c:f>
              <c:numCache>
                <c:formatCode>_-* #,##0\ [$€-40C]_-;\-* #,##0\ [$€-40C]_-;_-* "-"??\ [$€-40C]_-;_-@_-</c:formatCode>
                <c:ptCount val="69"/>
                <c:pt idx="0">
                  <c:v>43117580.945590705</c:v>
                </c:pt>
                <c:pt idx="1">
                  <c:v>43467678.599073082</c:v>
                </c:pt>
                <c:pt idx="2">
                  <c:v>28238084.003574342</c:v>
                </c:pt>
                <c:pt idx="3">
                  <c:v>4762790.4052313231</c:v>
                </c:pt>
                <c:pt idx="4">
                  <c:v>43021765.625479788</c:v>
                </c:pt>
                <c:pt idx="5">
                  <c:v>36089161.082852244</c:v>
                </c:pt>
                <c:pt idx="6">
                  <c:v>36882255.403577745</c:v>
                </c:pt>
                <c:pt idx="7">
                  <c:v>19820690.613852501</c:v>
                </c:pt>
                <c:pt idx="8">
                  <c:v>16443676.354819655</c:v>
                </c:pt>
                <c:pt idx="9">
                  <c:v>9923568.1881339103</c:v>
                </c:pt>
                <c:pt idx="10">
                  <c:v>27648832.896005273</c:v>
                </c:pt>
                <c:pt idx="11">
                  <c:v>14218625.469537407</c:v>
                </c:pt>
                <c:pt idx="12">
                  <c:v>31203963.816227138</c:v>
                </c:pt>
                <c:pt idx="13">
                  <c:v>22986117.465212703</c:v>
                </c:pt>
                <c:pt idx="14">
                  <c:v>11013385.665801227</c:v>
                </c:pt>
                <c:pt idx="15">
                  <c:v>5218995.6178501248</c:v>
                </c:pt>
                <c:pt idx="16">
                  <c:v>42092368.251262903</c:v>
                </c:pt>
                <c:pt idx="17">
                  <c:v>1631478.0358620584</c:v>
                </c:pt>
                <c:pt idx="18">
                  <c:v>-1308816.7834413052</c:v>
                </c:pt>
                <c:pt idx="19">
                  <c:v>-6308486.4235669076</c:v>
                </c:pt>
                <c:pt idx="20">
                  <c:v>-4057716.4644644856</c:v>
                </c:pt>
                <c:pt idx="21">
                  <c:v>-8678587.7080263495</c:v>
                </c:pt>
                <c:pt idx="22">
                  <c:v>-10577430.320418745</c:v>
                </c:pt>
                <c:pt idx="23">
                  <c:v>-12835014.860067308</c:v>
                </c:pt>
                <c:pt idx="24">
                  <c:v>-38975039.204356313</c:v>
                </c:pt>
                <c:pt idx="25">
                  <c:v>-8210655.294607386</c:v>
                </c:pt>
                <c:pt idx="26">
                  <c:v>-49826182.066883147</c:v>
                </c:pt>
                <c:pt idx="27">
                  <c:v>-47455310.22161448</c:v>
                </c:pt>
                <c:pt idx="28">
                  <c:v>-131348034.59171379</c:v>
                </c:pt>
                <c:pt idx="29">
                  <c:v>-80753517.828721285</c:v>
                </c:pt>
                <c:pt idx="30">
                  <c:v>13950408.328102823</c:v>
                </c:pt>
                <c:pt idx="31">
                  <c:v>24961763.221313387</c:v>
                </c:pt>
                <c:pt idx="32">
                  <c:v>5979587.8979284018</c:v>
                </c:pt>
                <c:pt idx="33">
                  <c:v>3844777.3475676402</c:v>
                </c:pt>
                <c:pt idx="34">
                  <c:v>5433082.4128994793</c:v>
                </c:pt>
                <c:pt idx="35">
                  <c:v>651243.21794561297</c:v>
                </c:pt>
                <c:pt idx="36">
                  <c:v>768518.3952158913</c:v>
                </c:pt>
                <c:pt idx="37">
                  <c:v>-814915.80439738929</c:v>
                </c:pt>
                <c:pt idx="38">
                  <c:v>-1309426.5903387964</c:v>
                </c:pt>
                <c:pt idx="39">
                  <c:v>-1274655.7448605597</c:v>
                </c:pt>
                <c:pt idx="40">
                  <c:v>-1503945.365721941</c:v>
                </c:pt>
                <c:pt idx="41">
                  <c:v>-1925933.8284761906</c:v>
                </c:pt>
                <c:pt idx="42">
                  <c:v>-2943240.8352414072</c:v>
                </c:pt>
                <c:pt idx="43">
                  <c:v>-4886228.6905608475</c:v>
                </c:pt>
                <c:pt idx="44">
                  <c:v>-2967012.3651087135</c:v>
                </c:pt>
                <c:pt idx="45">
                  <c:v>-4070217.8643397242</c:v>
                </c:pt>
                <c:pt idx="46">
                  <c:v>-5470285.0212204084</c:v>
                </c:pt>
                <c:pt idx="47">
                  <c:v>-7205978.1589379385</c:v>
                </c:pt>
                <c:pt idx="48">
                  <c:v>-5332738.288352266</c:v>
                </c:pt>
                <c:pt idx="49">
                  <c:v>-9306912.8104356341</c:v>
                </c:pt>
                <c:pt idx="50">
                  <c:v>-6448214.3411238752</c:v>
                </c:pt>
                <c:pt idx="51">
                  <c:v>35151692.059043944</c:v>
                </c:pt>
                <c:pt idx="52">
                  <c:v>-8297388.0172784626</c:v>
                </c:pt>
                <c:pt idx="53">
                  <c:v>-541097.29491826892</c:v>
                </c:pt>
                <c:pt idx="54">
                  <c:v>-6831701.7898943424</c:v>
                </c:pt>
                <c:pt idx="55">
                  <c:v>-48069503.953705013</c:v>
                </c:pt>
                <c:pt idx="56">
                  <c:v>13427154.858180761</c:v>
                </c:pt>
                <c:pt idx="57">
                  <c:v>3474244.8613075465</c:v>
                </c:pt>
                <c:pt idx="58">
                  <c:v>585331.76073414087</c:v>
                </c:pt>
                <c:pt idx="59">
                  <c:v>-5186956.9321917146</c:v>
                </c:pt>
                <c:pt idx="60">
                  <c:v>-8893538.8678904474</c:v>
                </c:pt>
                <c:pt idx="61">
                  <c:v>-18944954.676575541</c:v>
                </c:pt>
                <c:pt idx="62">
                  <c:v>-26040211.699770153</c:v>
                </c:pt>
                <c:pt idx="63">
                  <c:v>-16845821.520018607</c:v>
                </c:pt>
                <c:pt idx="64">
                  <c:v>40520823.771988556</c:v>
                </c:pt>
                <c:pt idx="65">
                  <c:v>12928933.114268839</c:v>
                </c:pt>
                <c:pt idx="66">
                  <c:v>8058380.8701209724</c:v>
                </c:pt>
                <c:pt idx="67">
                  <c:v>4735796.5523865223</c:v>
                </c:pt>
                <c:pt idx="68">
                  <c:v>-7819182.0925408527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35-2941-8C59-0B84C64590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90705056"/>
        <c:axId val="851943024"/>
      </c:barChart>
      <c:catAx>
        <c:axId val="8907050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51943024"/>
        <c:crosses val="autoZero"/>
        <c:auto val="1"/>
        <c:lblAlgn val="ctr"/>
        <c:lblOffset val="100"/>
        <c:noMultiLvlLbl val="0"/>
      </c:catAx>
      <c:valAx>
        <c:axId val="851943024"/>
        <c:scaling>
          <c:orientation val="minMax"/>
          <c:max val="60000000"/>
          <c:min val="-1500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\ [$€-40C]_-;\-* #,##0\ [$€-40C]_-;_-* &quot;-&quot;??\ [$€-40C]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90705056"/>
        <c:crosses val="autoZero"/>
        <c:crossBetween val="between"/>
        <c:majorUnit val="100000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0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3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3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3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4" Type="http://schemas.openxmlformats.org/officeDocument/2006/relationships/chart" Target="../charts/chart10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571500</xdr:colOff>
      <xdr:row>2</xdr:row>
      <xdr:rowOff>127000</xdr:rowOff>
    </xdr:from>
    <xdr:to>
      <xdr:col>22</xdr:col>
      <xdr:colOff>203200</xdr:colOff>
      <xdr:row>30</xdr:row>
      <xdr:rowOff>25400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B720CCF4-7D71-C34A-8D5A-C5658AD025F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609600</xdr:colOff>
      <xdr:row>30</xdr:row>
      <xdr:rowOff>165100</xdr:rowOff>
    </xdr:from>
    <xdr:to>
      <xdr:col>22</xdr:col>
      <xdr:colOff>241300</xdr:colOff>
      <xdr:row>58</xdr:row>
      <xdr:rowOff>63500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522EDF24-7FB2-834C-812E-FC0A2E0E10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1397000</xdr:colOff>
      <xdr:row>23</xdr:row>
      <xdr:rowOff>88900</xdr:rowOff>
    </xdr:from>
    <xdr:to>
      <xdr:col>10</xdr:col>
      <xdr:colOff>444500</xdr:colOff>
      <xdr:row>42</xdr:row>
      <xdr:rowOff>165723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696AACD6-77D4-B04C-B85D-98D101C5842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292100</xdr:colOff>
      <xdr:row>22</xdr:row>
      <xdr:rowOff>165100</xdr:rowOff>
    </xdr:from>
    <xdr:to>
      <xdr:col>5</xdr:col>
      <xdr:colOff>914400</xdr:colOff>
      <xdr:row>42</xdr:row>
      <xdr:rowOff>190500</xdr:rowOff>
    </xdr:to>
    <xdr:graphicFrame macro="">
      <xdr:nvGraphicFramePr>
        <xdr:cNvPr id="6" name="Graphique 5">
          <a:extLst>
            <a:ext uri="{FF2B5EF4-FFF2-40B4-BE49-F238E27FC236}">
              <a16:creationId xmlns:a16="http://schemas.microsoft.com/office/drawing/2014/main" id="{714245D6-53EA-4C4B-A5C1-69CB6105F6A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44</xdr:row>
      <xdr:rowOff>10738</xdr:rowOff>
    </xdr:from>
    <xdr:to>
      <xdr:col>5</xdr:col>
      <xdr:colOff>622300</xdr:colOff>
      <xdr:row>69</xdr:row>
      <xdr:rowOff>34794</xdr:rowOff>
    </xdr:to>
    <xdr:graphicFrame macro="">
      <xdr:nvGraphicFramePr>
        <xdr:cNvPr id="7" name="Graphique 6">
          <a:extLst>
            <a:ext uri="{FF2B5EF4-FFF2-40B4-BE49-F238E27FC236}">
              <a16:creationId xmlns:a16="http://schemas.microsoft.com/office/drawing/2014/main" id="{E7946D0D-A831-874D-BEAE-65E8144AE6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0</xdr:colOff>
      <xdr:row>44</xdr:row>
      <xdr:rowOff>0</xdr:rowOff>
    </xdr:from>
    <xdr:to>
      <xdr:col>10</xdr:col>
      <xdr:colOff>448952</xdr:colOff>
      <xdr:row>65</xdr:row>
      <xdr:rowOff>26185</xdr:rowOff>
    </xdr:to>
    <xdr:graphicFrame macro="">
      <xdr:nvGraphicFramePr>
        <xdr:cNvPr id="8" name="Graphique 7">
          <a:extLst>
            <a:ext uri="{FF2B5EF4-FFF2-40B4-BE49-F238E27FC236}">
              <a16:creationId xmlns:a16="http://schemas.microsoft.com/office/drawing/2014/main" id="{CEC0B8B0-9BAA-954E-8380-32D73BB704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1889</xdr:colOff>
      <xdr:row>2</xdr:row>
      <xdr:rowOff>238037</xdr:rowOff>
    </xdr:from>
    <xdr:to>
      <xdr:col>31</xdr:col>
      <xdr:colOff>671813</xdr:colOff>
      <xdr:row>11</xdr:row>
      <xdr:rowOff>22280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6F47BF63-A042-0C41-B460-8B8BF243ECF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19</xdr:col>
      <xdr:colOff>12700</xdr:colOff>
      <xdr:row>54</xdr:row>
      <xdr:rowOff>88900</xdr:rowOff>
    </xdr:from>
    <xdr:to>
      <xdr:col>31</xdr:col>
      <xdr:colOff>682624</xdr:colOff>
      <xdr:row>69</xdr:row>
      <xdr:rowOff>15875</xdr:rowOff>
    </xdr:to>
    <xdr:graphicFrame macro="">
      <xdr:nvGraphicFramePr>
        <xdr:cNvPr id="6" name="Graphique 5">
          <a:extLst>
            <a:ext uri="{FF2B5EF4-FFF2-40B4-BE49-F238E27FC236}">
              <a16:creationId xmlns:a16="http://schemas.microsoft.com/office/drawing/2014/main" id="{21457B6A-F0FE-F94C-823B-239BE19A7F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19</xdr:col>
      <xdr:colOff>12700</xdr:colOff>
      <xdr:row>11</xdr:row>
      <xdr:rowOff>77982</xdr:rowOff>
    </xdr:from>
    <xdr:to>
      <xdr:col>31</xdr:col>
      <xdr:colOff>682624</xdr:colOff>
      <xdr:row>29</xdr:row>
      <xdr:rowOff>152399</xdr:rowOff>
    </xdr:to>
    <xdr:graphicFrame macro="">
      <xdr:nvGraphicFramePr>
        <xdr:cNvPr id="7" name="Graphique 6">
          <a:extLst>
            <a:ext uri="{FF2B5EF4-FFF2-40B4-BE49-F238E27FC236}">
              <a16:creationId xmlns:a16="http://schemas.microsoft.com/office/drawing/2014/main" id="{5BD13633-7D64-354E-AC72-468CD20E2E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0</xdr:colOff>
      <xdr:row>30</xdr:row>
      <xdr:rowOff>0</xdr:rowOff>
    </xdr:from>
    <xdr:to>
      <xdr:col>31</xdr:col>
      <xdr:colOff>669924</xdr:colOff>
      <xdr:row>54</xdr:row>
      <xdr:rowOff>66675</xdr:rowOff>
    </xdr:to>
    <xdr:graphicFrame macro="">
      <xdr:nvGraphicFramePr>
        <xdr:cNvPr id="10" name="Graphique 9">
          <a:extLst>
            <a:ext uri="{FF2B5EF4-FFF2-40B4-BE49-F238E27FC236}">
              <a16:creationId xmlns:a16="http://schemas.microsoft.com/office/drawing/2014/main" id="{9916D0AC-59C2-BB46-B143-1FB503C2EA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19</xdr:col>
      <xdr:colOff>647700</xdr:colOff>
      <xdr:row>2</xdr:row>
      <xdr:rowOff>901700</xdr:rowOff>
    </xdr:from>
    <xdr:to>
      <xdr:col>31</xdr:col>
      <xdr:colOff>495300</xdr:colOff>
      <xdr:row>2</xdr:row>
      <xdr:rowOff>901700</xdr:rowOff>
    </xdr:to>
    <xdr:cxnSp macro="">
      <xdr:nvCxnSpPr>
        <xdr:cNvPr id="8" name="Connecteur droit 7">
          <a:extLst>
            <a:ext uri="{FF2B5EF4-FFF2-40B4-BE49-F238E27FC236}">
              <a16:creationId xmlns:a16="http://schemas.microsoft.com/office/drawing/2014/main" id="{9318DD25-45D5-8045-9DAA-84320934C275}"/>
            </a:ext>
          </a:extLst>
        </xdr:cNvPr>
        <xdr:cNvCxnSpPr/>
      </xdr:nvCxnSpPr>
      <xdr:spPr>
        <a:xfrm flipH="1">
          <a:off x="19507200" y="1308100"/>
          <a:ext cx="11125200" cy="0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19</xdr:col>
      <xdr:colOff>381000</xdr:colOff>
      <xdr:row>59</xdr:row>
      <xdr:rowOff>50800</xdr:rowOff>
    </xdr:from>
    <xdr:to>
      <xdr:col>31</xdr:col>
      <xdr:colOff>457200</xdr:colOff>
      <xdr:row>59</xdr:row>
      <xdr:rowOff>50800</xdr:rowOff>
    </xdr:to>
    <xdr:cxnSp macro="">
      <xdr:nvCxnSpPr>
        <xdr:cNvPr id="9" name="Connecteur droit 8">
          <a:extLst>
            <a:ext uri="{FF2B5EF4-FFF2-40B4-BE49-F238E27FC236}">
              <a16:creationId xmlns:a16="http://schemas.microsoft.com/office/drawing/2014/main" id="{51060953-D051-DE4D-BC70-F5A0A9D4501E}"/>
            </a:ext>
          </a:extLst>
        </xdr:cNvPr>
        <xdr:cNvCxnSpPr/>
      </xdr:nvCxnSpPr>
      <xdr:spPr>
        <a:xfrm flipH="1">
          <a:off x="19240500" y="13525500"/>
          <a:ext cx="11353800" cy="0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6820</xdr:colOff>
      <xdr:row>1</xdr:row>
      <xdr:rowOff>1156905</xdr:rowOff>
    </xdr:from>
    <xdr:to>
      <xdr:col>36</xdr:col>
      <xdr:colOff>691756</xdr:colOff>
      <xdr:row>20</xdr:row>
      <xdr:rowOff>7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0EF38D93-7B2E-0B44-9F4D-FB966ED9CA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0.10056</cdr:x>
      <cdr:y>0.40085</cdr:y>
    </cdr:from>
    <cdr:to>
      <cdr:x>0.90194</cdr:x>
      <cdr:y>0.40085</cdr:y>
    </cdr:to>
    <cdr:cxnSp macro="">
      <cdr:nvCxnSpPr>
        <cdr:cNvPr id="3" name="Connecteur droit 2">
          <a:extLst xmlns:a="http://schemas.openxmlformats.org/drawingml/2006/main">
            <a:ext uri="{FF2B5EF4-FFF2-40B4-BE49-F238E27FC236}">
              <a16:creationId xmlns:a16="http://schemas.microsoft.com/office/drawing/2014/main" id="{A60229DF-0EDF-8B48-971B-EB3326CAD3CC}"/>
            </a:ext>
          </a:extLst>
        </cdr:cNvPr>
        <cdr:cNvCxnSpPr/>
      </cdr:nvCxnSpPr>
      <cdr:spPr>
        <a:xfrm xmlns:a="http://schemas.openxmlformats.org/drawingml/2006/main">
          <a:off x="1063873" y="1668952"/>
          <a:ext cx="8477748" cy="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3">
          <a:schemeClr val="accent2"/>
        </a:lnRef>
        <a:fillRef xmlns:a="http://schemas.openxmlformats.org/drawingml/2006/main" idx="0">
          <a:schemeClr val="accent2"/>
        </a:fillRef>
        <a:effectRef xmlns:a="http://schemas.openxmlformats.org/drawingml/2006/main" idx="2">
          <a:schemeClr val="accent2"/>
        </a:effectRef>
        <a:fontRef xmlns:a="http://schemas.openxmlformats.org/drawingml/2006/main" idx="minor">
          <a:schemeClr val="tx1"/>
        </a:fontRef>
      </cdr:style>
    </cdr:cxn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vechristofol/Documents%202/SNESUP%20FSU/secteurs%20et%20commissions/SERVICES%20PUBLICS/budget/PLF2022/2022_dotation_et_effectifs_universites_2111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phique pluriannuel"/>
      <sheetName val="2022 CNESER"/>
      <sheetName val="2021 CNESER"/>
      <sheetName val="2020 CNESER"/>
      <sheetName val="2019 CNESER"/>
      <sheetName val="2019-2021 GE"/>
    </sheetNames>
    <sheetDataSet>
      <sheetData sheetId="0"/>
      <sheetData sheetId="1"/>
      <sheetData sheetId="2"/>
      <sheetData sheetId="3"/>
      <sheetData sheetId="4"/>
      <sheetData sheetId="5">
        <row r="2">
          <cell r="V2" t="str">
            <v>SCSP/étudiant en 2021</v>
          </cell>
          <cell r="W2" t="str">
            <v>ETPT/100 étudiants en 2020</v>
          </cell>
        </row>
        <row r="3">
          <cell r="C3" t="str">
            <v>CENTRALE SUPELEC</v>
          </cell>
          <cell r="V3">
            <v>10179.36515573563</v>
          </cell>
          <cell r="W3">
            <v>18.890858445175994</v>
          </cell>
        </row>
        <row r="4">
          <cell r="C4" t="str">
            <v>EC LILLE</v>
          </cell>
          <cell r="V4">
            <v>12264.928638059702</v>
          </cell>
          <cell r="W4">
            <v>13.386194029850746</v>
          </cell>
        </row>
        <row r="5">
          <cell r="C5" t="str">
            <v>EC LYON</v>
          </cell>
          <cell r="V5">
            <v>12545.827953296703</v>
          </cell>
          <cell r="W5">
            <v>11.366758241758241</v>
          </cell>
        </row>
        <row r="6">
          <cell r="C6" t="str">
            <v>EC MARSEILLE</v>
          </cell>
          <cell r="V6">
            <v>12740.905627705628</v>
          </cell>
          <cell r="W6">
            <v>14.112554112554113</v>
          </cell>
        </row>
        <row r="7">
          <cell r="C7" t="str">
            <v>EC NANTES</v>
          </cell>
          <cell r="V7">
            <v>9471.095197255574</v>
          </cell>
          <cell r="W7">
            <v>11.79245283018868</v>
          </cell>
        </row>
        <row r="8">
          <cell r="C8" t="str">
            <v>ENI TARBES</v>
          </cell>
          <cell r="V8">
            <v>11878.522146507667</v>
          </cell>
          <cell r="W8">
            <v>13.032367972742758</v>
          </cell>
        </row>
        <row r="9">
          <cell r="C9" t="str">
            <v>ENSAM</v>
          </cell>
          <cell r="V9">
            <v>12066.786292320396</v>
          </cell>
          <cell r="W9">
            <v>16.267547481420312</v>
          </cell>
        </row>
        <row r="10">
          <cell r="C10" t="str">
            <v>ENSC MONTPELLIER</v>
          </cell>
          <cell r="V10">
            <v>19726.023454157781</v>
          </cell>
          <cell r="W10">
            <v>25.799573560767591</v>
          </cell>
        </row>
        <row r="11">
          <cell r="C11" t="str">
            <v>ENSC PARIS</v>
          </cell>
          <cell r="V11">
            <v>20301.79801980198</v>
          </cell>
          <cell r="W11">
            <v>24.752475247524753</v>
          </cell>
        </row>
        <row r="12">
          <cell r="C12" t="str">
            <v>ENSC RENNES</v>
          </cell>
          <cell r="V12">
            <v>14318.181636726547</v>
          </cell>
          <cell r="W12">
            <v>15.768463073852296</v>
          </cell>
        </row>
        <row r="13">
          <cell r="C13" t="str">
            <v>ENSI CAEN</v>
          </cell>
          <cell r="V13">
            <v>15280.660804020101</v>
          </cell>
          <cell r="W13">
            <v>16.708542713567841</v>
          </cell>
        </row>
        <row r="14">
          <cell r="C14" t="str">
            <v>ENSIIE</v>
          </cell>
          <cell r="V14">
            <v>10658.157303370786</v>
          </cell>
          <cell r="W14">
            <v>10.299625468164795</v>
          </cell>
        </row>
        <row r="15">
          <cell r="C15" t="str">
            <v>INP GRENOBLE</v>
          </cell>
          <cell r="V15">
            <v>10232.900551070101</v>
          </cell>
          <cell r="W15">
            <v>13.648596693579393</v>
          </cell>
        </row>
        <row r="16">
          <cell r="C16" t="str">
            <v>INP TOULOUSE</v>
          </cell>
          <cell r="V16">
            <v>14267.205241244183</v>
          </cell>
          <cell r="W16">
            <v>18.858682341415626</v>
          </cell>
        </row>
        <row r="17">
          <cell r="C17" t="str">
            <v>INSA CENTRE VAL DE LOIRE</v>
          </cell>
          <cell r="V17">
            <v>8900.3704135119388</v>
          </cell>
          <cell r="W17">
            <v>10.716365754222481</v>
          </cell>
        </row>
        <row r="18">
          <cell r="C18" t="str">
            <v>INSA DE RENNES</v>
          </cell>
          <cell r="V18">
            <v>14872.660810151294</v>
          </cell>
          <cell r="W18">
            <v>19.521717911176182</v>
          </cell>
        </row>
        <row r="19">
          <cell r="C19" t="str">
            <v>INSA DE ROUEN</v>
          </cell>
          <cell r="V19">
            <v>12138.11376953125</v>
          </cell>
          <cell r="W19">
            <v>15.869140625</v>
          </cell>
        </row>
        <row r="20">
          <cell r="C20" t="str">
            <v>INSA DE STRASBOURG</v>
          </cell>
          <cell r="V20">
            <v>9147.98810703667</v>
          </cell>
          <cell r="W20">
            <v>10.009910802775025</v>
          </cell>
        </row>
        <row r="21">
          <cell r="C21" t="str">
            <v>INSA DE TOULOUSE</v>
          </cell>
          <cell r="V21">
            <v>13333.799934512115</v>
          </cell>
          <cell r="W21">
            <v>16.371971185330715</v>
          </cell>
        </row>
        <row r="22">
          <cell r="C22" t="str">
            <v>ISAE-ENSMA POITIERS</v>
          </cell>
          <cell r="V22">
            <v>15493.01923076923</v>
          </cell>
          <cell r="W22">
            <v>19.780219780219781</v>
          </cell>
        </row>
        <row r="23">
          <cell r="C23" t="str">
            <v>INP CLERMONT (Sigma)</v>
          </cell>
          <cell r="V23">
            <v>4323.7481385561669</v>
          </cell>
          <cell r="W23">
            <v>4.7588216251213984</v>
          </cell>
        </row>
        <row r="24">
          <cell r="C24" t="str">
            <v>UT BELFORT-MONTBELIARD</v>
          </cell>
          <cell r="V24">
            <v>11206.50193050193</v>
          </cell>
          <cell r="W24">
            <v>13.783783783783784</v>
          </cell>
        </row>
        <row r="25">
          <cell r="C25" t="str">
            <v>UT COMPIEGNE</v>
          </cell>
          <cell r="V25">
            <v>11394.226356956624</v>
          </cell>
          <cell r="W25">
            <v>15.027257643991469</v>
          </cell>
        </row>
        <row r="26">
          <cell r="C26" t="str">
            <v>UT TROYES</v>
          </cell>
          <cell r="V26">
            <v>7875.5270270270266</v>
          </cell>
          <cell r="W26">
            <v>9.4901719901719908</v>
          </cell>
        </row>
      </sheetData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B43A2ED-6A92-884B-8EE2-F498F5569493}" name="Univ2021" displayName="Univ2021" ref="A3:T71" totalsRowShown="0" headerRowDxfId="118">
  <autoFilter ref="A3:T71" xr:uid="{9B43A2ED-6A92-884B-8EE2-F498F5569493}"/>
  <tableColumns count="20">
    <tableColumn id="1" xr3:uid="{398CA089-A0C3-484D-B5D9-BB53E65E24CD}" name="type d'université : UPavS, UPhs, USTS, UTALLSHS, UTDEG" dataDxfId="117"/>
    <tableColumn id="2" xr3:uid="{F8436495-B21E-2E4A-A6E5-E9DF7AE0CC0B}" name="Année de passage aux RCE" dataDxfId="116"/>
    <tableColumn id="3" xr3:uid="{C8B092F1-5B94-1242-856D-838A968B3FD1}" name="Etablissements" dataDxfId="115"/>
    <tableColumn id="4" xr3:uid="{40C7C057-3BAC-C64A-BC24-D31A715EAFC0}" name="académie" dataDxfId="114"/>
    <tableColumn id="5" xr3:uid="{4D1CDC41-DF75-5743-9A48-97595F98A03C}" name="masse salariale 2021 affectée par le vote du CNESER du 24/11/2020 (150 et 231) en euros" dataDxfId="113"/>
    <tableColumn id="6" xr3:uid="{BF465EAF-2B06-3042-B799-78F549460065}" name="progression 2021/2020 de la Masse Salariale" dataDxfId="112" dataCellStyle="Pourcentage">
      <calculatedColumnFormula>(SUMIF(C$4:C$71,C4,E$4:E$71)-SUMIF('2020 CNESER'!C$4:C$71,C4,'2020 CNESER'!E$4:E$71))/SUMIF('2020 CNESER'!C$4:C$71,C4,'2020 CNESER'!E$4:E$71)</calculatedColumnFormula>
    </tableColumn>
    <tableColumn id="7" xr3:uid="{2DF31A08-D0C6-054B-9D2C-85A84A332E46}" name="SCSP VOTÉE AU CNESER notifiées en CP POUR 2021 au titre des programmes 150 et 231 (en euros)" dataDxfId="111"/>
    <tableColumn id="8" xr3:uid="{B8DAFF73-981D-CB4B-BCB4-E735FEDDA8BC}" name="progression 2021/2020de la SCSP" dataDxfId="110" dataCellStyle="Pourcentage">
      <calculatedColumnFormula>(SUMIF(C$4:C$71,C4,G$4:G$71)-SUMIF('2020 CNESER'!C$4:C$71,C4,'2020 CNESER'!G$4:G$71))/SUMIF('2020 CNESER'!C$4:C$71,C4,'2020 CNESER'!G$4:G$71)</calculatedColumnFormula>
    </tableColumn>
    <tableColumn id="9" xr3:uid="{39B6020F-1382-F54E-A0F8-BFF7E332115D}" name="Emplois à temps plein travaillés (ETPT) notifiés en 2021 au titres des programmes 150 et 231" dataDxfId="109">
      <calculatedColumnFormula>SUMIF('2020 CNESER'!$C$4:$C$77,C4,'2020 CNESER'!$I$4:$I$77)</calculatedColumnFormula>
    </tableColumn>
    <tableColumn id="10" xr3:uid="{7B3C065C-2491-3D4B-9766-37C7A594488E}" name="évolution possible des emplois en fonction de l'augmentation de la MS ramenée au coût moyen d'un emploi" dataDxfId="108">
      <calculatedColumnFormula>I4+((F4-0.6%)*E4)/60000</calculatedColumnFormula>
    </tableColumn>
    <tableColumn id="11" xr3:uid="{A4E723C8-0CBE-2B4B-95E0-7C51A7A08B88}" name="étudiants inscrits 2020-2021" dataDxfId="107"/>
    <tableColumn id="12" xr3:uid="{5CF9B6F5-6B6F-FF42-A27C-574A3667A683}" name="progression nb d'étudiants rentrée 2021/2020" dataDxfId="106" dataCellStyle="Pourcentage">
      <calculatedColumnFormula>(SUMIF('2021 CNESER'!$C$4:$C$76,'2021 CNESER'!$C3,'2021 CNESER'!$K$4:$K$76)-SUMIF('2020 CNESER'!$C$4:$C$76,'2021 CNESER'!$C3,'2020 CNESER'!$L$4:$L$76))/SUMIF('2020 CNESER'!$C$4:$C$76,'2021 CNESER'!$C3,'2020 CNESER'!$L$4:$L$76)</calculatedColumnFormula>
    </tableColumn>
    <tableColumn id="13" xr3:uid="{8FFEFA07-BE2B-BA4D-8C60-AA0F6322B289}" name="SCSP/étudiant" dataDxfId="105">
      <calculatedColumnFormula>G4/K4</calculatedColumnFormula>
    </tableColumn>
    <tableColumn id="14" xr3:uid="{971B0078-737F-0641-9B94-DE2B51D16B80}" name="ETPT/100 étudiants" dataDxfId="104"/>
    <tableColumn id="15" xr3:uid="{9B198944-0418-3041-B1EA-8A261C088FE4}" name="nombre de poste manquants/moyenne du type de l'université" dataDxfId="103" dataCellStyle="60 % - Accent4">
      <calculatedColumnFormula>K4*$N$73/100-J4</calculatedColumnFormula>
    </tableColumn>
    <tableColumn id="16" xr3:uid="{F6C7ECEB-43BF-FB4F-AFCE-7FA6625F1626}" name="écart de la SCSP par rapport à la moyenne de dotation du type d'université" dataDxfId="102" dataCellStyle="Accent2">
      <calculatedColumnFormula>K4*$M$73-G4</calculatedColumnFormula>
    </tableColumn>
    <tableColumn id="17" xr3:uid="{9F695F5C-4DA8-7548-875E-7EADA627471B}" name="dont pour la masse salariale des emplois manquants" dataDxfId="101" dataCellStyle="Monétaire">
      <calculatedColumnFormula>IF(O4&gt;0,O4*60000,0)</calculatedColumnFormula>
    </tableColumn>
    <tableColumn id="18" xr3:uid="{0223D44C-6694-1540-B698-2A8AE64B7DCD}" name="dont pour le fonctionnament et l'investissement" dataDxfId="100" dataCellStyle="Monétaire">
      <calculatedColumnFormula>IF(P4&gt;0,P4-Q4,0)</calculatedColumnFormula>
    </tableColumn>
    <tableColumn id="19" xr3:uid="{C0B0702F-C251-6C44-AE91-F08893D25E0E}" name="coût moyen d'un ETPT en 2020" dataDxfId="99">
      <calculatedColumnFormula>E4/J4</calculatedColumnFormula>
    </tableColumn>
    <tableColumn id="20" xr3:uid="{8468C92E-4181-4743-92E5-AEE3CDDC69AD}" name="ratio masse salariale/SCSP" dataDxfId="98" dataCellStyle="Pourcentage">
      <calculatedColumnFormula>E4/G4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B3BB7DA6-9E73-BC44-A377-69A3B6F3B039}" name="Univ2020" displayName="Univ2020" ref="A3:R71" totalsRowShown="0" headerRowDxfId="97">
  <autoFilter ref="A3:R71" xr:uid="{B3BB7DA6-9E73-BC44-A377-69A3B6F3B039}"/>
  <tableColumns count="18">
    <tableColumn id="1" xr3:uid="{D54570B1-5A17-3B45-8FB0-45CAA07688C1}" name="type d'université : UPavS, UPhs, USTS, UTALLSHS, UTDEG" dataDxfId="96"/>
    <tableColumn id="2" xr3:uid="{41BD8D68-6AB1-1D49-94E6-97F6EDDA4B9E}" name="Année de passage aux RCE" dataDxfId="95"/>
    <tableColumn id="3" xr3:uid="{C0EE9121-EBB8-F149-891A-5381240B9183}" name="Etablissements" dataDxfId="94"/>
    <tableColumn id="4" xr3:uid="{74227FDC-27B1-4041-9997-3BCA3F5E8C32}" name="académie" dataDxfId="93"/>
    <tableColumn id="5" xr3:uid="{903D3B0A-5548-9145-B26C-0FCB5A799BFF}" name="masse salariale 2020 affectée par le vote du CNESER du 19/11/2019 (150 et 231 (en euros)" dataDxfId="92"/>
    <tableColumn id="6" xr3:uid="{BEE7ED99-4D97-0045-AA70-C73CD4142B8F}" name="progression 2020/2019 de la MS" dataDxfId="91" dataCellStyle="Pourcentage">
      <calculatedColumnFormula>(SUMIF(C$4:C$76,C4,E$4:E$76)-SUMIF('2019 CNESER'!C$4:C$77,C4,'2019 CNESER'!E$4:E$77))/(SUMIF('2019 CNESER'!C$4:C$77,C4,'2019 CNESER'!E$4:E$77))</calculatedColumnFormula>
    </tableColumn>
    <tableColumn id="7" xr3:uid="{4D09D18A-5B0A-2242-B8A0-2263B36521BC}" name="SCSP VOTÉE AU CNESER notifiées en CP POUR 2020 au titre des programmes 150 et 231 (en euros)" dataDxfId="90"/>
    <tableColumn id="8" xr3:uid="{73C3ABAE-DDCA-064D-9A0D-37D08AFB7AFE}" name="progression 2020/2019 de la SCSP" dataDxfId="89" dataCellStyle="Pourcentage">
      <calculatedColumnFormula>(SUMIF(C$4:C$76,C4,G$4:G$76)-SUMIF('2019 CNESER'!C$4:C$77,C4,'2019 CNESER'!F$4:F$77))/(SUMIF('2019 CNESER'!C$4:C$77,C4,'2019 CNESER'!F$4:F$77))</calculatedColumnFormula>
    </tableColumn>
    <tableColumn id="9" xr3:uid="{181EFDCB-79C4-D64E-A516-1ECC1701512A}" name="Emplois à temps plein travaillés (ETPT) notifiés en 2019 au titres des programmes 150 et 231" dataDxfId="88"/>
    <tableColumn id="10" xr3:uid="{FD62073D-3D92-E140-91AD-653DC25E49A5}" name="Emplois à temps plein travaillés (ETPT) notifiés en 2020 au titres des programmes 150 et 231" dataDxfId="87" dataCellStyle="Milliers"/>
    <tableColumn id="11" xr3:uid="{990869DC-19FA-0F4F-9498-FAF12BCF418F}" name="progression des emplois notifiés" dataDxfId="86" dataCellStyle="Pourcentage">
      <calculatedColumnFormula>(J4-I4)/I4</calculatedColumnFormula>
    </tableColumn>
    <tableColumn id="12" xr3:uid="{A65296A9-84B8-C84F-B429-6A2D2CB7E74A}" name="étudiants inscrits 2019-2020" dataDxfId="85"/>
    <tableColumn id="13" xr3:uid="{2F91E3A9-0E17-CF43-AA8F-CF86CB77EF2D}" name="progression nb d'étudiants rentrée 2019/2018" dataDxfId="84" dataCellStyle="Pourcentage">
      <calculatedColumnFormula>(SUMIF($C$4:$C$76,$C4,$L$4:$L$76)-SUMIF('2019 CNESER'!$C$4:$C$77,'2020 CNESER'!$C4,'2019 CNESER'!$H$4:$H$77))/SUMIF('2019 CNESER'!$C$4:$C$77,'2020 CNESER'!$C4,'2019 CNESER'!$H$4:$H$77)</calculatedColumnFormula>
    </tableColumn>
    <tableColumn id="14" xr3:uid="{88D450D7-B866-AA4F-A8EB-E93E66859780}" name="SCSP/étudiant" dataDxfId="83">
      <calculatedColumnFormula>G4/L4</calculatedColumnFormula>
    </tableColumn>
    <tableColumn id="15" xr3:uid="{A65A4B5A-7FB3-884D-98BA-CEC28CDB67A8}" name="ETPT estimés compte tenu de l'évolution de SCSP /100 étudiants" dataDxfId="82"/>
    <tableColumn id="16" xr3:uid="{98E807DE-FECF-DF4D-9E04-7168220D8E20}" name="évolution possible des ETPT compte tenu de l'évolution de la masse salariale" dataDxfId="81" dataCellStyle="Milliers">
      <calculatedColumnFormula>J4-I4</calculatedColumnFormula>
    </tableColumn>
    <tableColumn id="17" xr3:uid="{3468C770-D1D4-6E44-92E4-9891254E5DD2}" name="coût moyen d'un ETPT en 2020" dataDxfId="80">
      <calculatedColumnFormula>E4/J4</calculatedColumnFormula>
    </tableColumn>
    <tableColumn id="18" xr3:uid="{BDC7CA52-F577-5143-8C85-7C7D397011E1}" name="ratio masse salariale/SCSP" dataDxfId="79" dataCellStyle="Pourcentage">
      <calculatedColumnFormula>E4/G4</calculatedColumnFormula>
    </tableColumn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4BD10351-DCC7-0242-926F-2904A1F89698}" name="Tableau3" displayName="Tableau3" ref="A3:S72" totalsRowShown="0" headerRowDxfId="74" dataDxfId="73">
  <autoFilter ref="A3:S72" xr:uid="{4BD10351-DCC7-0242-926F-2904A1F89698}"/>
  <tableColumns count="19">
    <tableColumn id="1" xr3:uid="{D0A28C5F-137F-AD40-A3C0-440D41C0B7C7}" name="type d'université : UPavS, UPhs, USTS, UTALLSHS, UTDEG" dataDxfId="72"/>
    <tableColumn id="2" xr3:uid="{58959875-4E9C-CA44-8C1B-D8D752192B3E}" name="Année de passage aux RCE" dataDxfId="71"/>
    <tableColumn id="3" xr3:uid="{6E0D6F25-ED5E-1E45-AE32-F731F485A8C8}" name="Etablissements" dataDxfId="70"/>
    <tableColumn id="4" xr3:uid="{604B48F7-45A4-F241-9D80-175F7EF9C8C6}" name="ACADÉMIE" dataDxfId="69"/>
    <tableColumn id="5" xr3:uid="{7D10D312-D87F-0249-AA44-0F1A272B6E62}" name="masse salariale affectée par le vote du CNESER du 12/12/2018 (150 et 231 (en euros)" dataDxfId="68"/>
    <tableColumn id="6" xr3:uid="{8573C58D-0605-F74A-95AB-19A54A1338EE}" name="Subventions pour charges de service public (SCSP) notifiées en CP en 2019 au titre des programmes 150 et 231 (en euros)" dataDxfId="67"/>
    <tableColumn id="7" xr3:uid="{17AAA946-88FF-024D-AC38-1AD68DB44079}" name="Emplois à temps plein travaillés (ETPT) notifiés en 2019 au titres des programmes 150 et 231" dataDxfId="66"/>
    <tableColumn id="8" xr3:uid="{831D2F3A-36B0-5545-9DA4-80ADBF1A6518}" name="étudiants inscrits 2018-2019 hors doubles inscriptions CPGE" dataDxfId="65"/>
    <tableColumn id="9" xr3:uid="{F524BF28-F8F1-AC48-8BCA-614989F4E4E3}" name="SCSP/étudiant" dataDxfId="64">
      <calculatedColumnFormula>F4/H4</calculatedColumnFormula>
    </tableColumn>
    <tableColumn id="10" xr3:uid="{F879ACBB-4CC8-944A-A020-745BBBCEF1B3}" name="ETPT/100 étudiants" dataDxfId="63">
      <calculatedColumnFormula>G4/H4*100</calculatedColumnFormula>
    </tableColumn>
    <tableColumn id="11" xr3:uid="{2DA35F78-C40A-7249-A917-B2D77E4AA675}" name="ECART DE SCSP CORIGÉE PAR LA VARIABLE DÉMOGRAPHIQUE / MOYENNE DE SON TYPE D'UNIVERSITÉ" dataDxfId="62">
      <calculatedColumnFormula>$I$74*H4-F4</calculatedColumnFormula>
    </tableColumn>
    <tableColumn id="12" xr3:uid="{B8C42747-EC67-7145-9494-A8DCCBF82755}" name="VARIATION DES ETPT CORIGÉE PAR LA VARIABLE DÉMOGRAPHIQUE / MOYENNE DE SON TYPE D'UNIVERSITÉ" dataDxfId="61">
      <calculatedColumnFormula>$J$74*H4/100-G4</calculatedColumnFormula>
    </tableColumn>
    <tableColumn id="13" xr3:uid="{2516C94F-6468-F341-A40E-FFC2C93B075E}" name="masse salariale manquante" dataDxfId="60">
      <calculatedColumnFormula>IF(L4&gt;0,L4*$O$2,0)</calculatedColumnFormula>
    </tableColumn>
    <tableColumn id="14" xr3:uid="{176D77BB-E64E-BD42-98B1-4D68F013357C}" name="masse salariale supplémentaire à la SCSP corrigée par la variable démographique" dataDxfId="59">
      <calculatedColumnFormula>IF(Tableau3[[#This Row],[ECART DE SCSP CORIGÉE PAR LA VARIABLE DÉMOGRAPHIQUE / MOYENNE DE SON TYPE D''UNIVERSITÉ]]-Tableau3[[#This Row],[masse salariale manquante]]&gt;0,Tableau3[[#This Row],[ECART DE SCSP CORIGÉE PAR LA VARIABLE DÉMOGRAPHIQUE / MOYENNE DE SON TYPE D''UNIVERSITÉ]]-Tableau3[[#This Row],[masse salariale manquante]],0)</calculatedColumnFormula>
    </tableColumn>
    <tableColumn id="15" xr3:uid="{D078C562-816B-814C-B4DC-CFB2FBA260F1}" name="NOUVELLE SCSP/ÉTUDIANT" dataDxfId="58">
      <calculatedColumnFormula>Tableau3[[#This Row],[Subventions pour charges de service public (SCSP) notifiées en CP en 2019 au titre des programmes 150 et 231 (en euros)]]+Tableau3[[#This Row],[masse salariale manquante]]+Tableau3[[#This Row],[masse salariale supplémentaire à la SCSP corrigée par la variable démographique]]</calculatedColumnFormula>
    </tableColumn>
    <tableColumn id="16" xr3:uid="{3C1B9873-AB51-8B42-B218-981B5FD6E444}" name="NOUVELLE SCSP/ÉTUDIANT AUGMENTÉE DE LA PROGRESSION DÉMOGRAPHIQUE ÉTUDIANTE " dataDxfId="57">
      <calculatedColumnFormula>$T$2*O4</calculatedColumnFormula>
    </tableColumn>
    <tableColumn id="17" xr3:uid="{497A0CFB-CAFC-2241-A8DB-05C2F12265C4}" name="NOUVELLE SCSP/ ÉTUDIANT AVEC UNE DEMOGRAPHIE DE 45000 ÉTUDIANTS EN PLUS" dataDxfId="56"/>
    <tableColumn id="18" xr3:uid="{73D56A54-2393-1B45-8389-A10B8989F8B8}" name="NOUVEAU TAUX D'ENCADREMENT ETPT/100 ÉTUDIANTS AVEC UNE DEMOGRAPHIE DE 45000 ÉTUDIANTS EN PLUS" dataDxfId="55"/>
    <tableColumn id="19" xr3:uid="{30F01535-D673-AA40-8A5F-45500AE49B06}" name="coût moyen d'un emploi" dataDxfId="54">
      <calculatedColumnFormula>E4/G4</calculatedColumnFormula>
    </tableColumn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459F3DEC-02A5-7D43-9050-0A44C6D3C743}" name="EtabRCE7" displayName="EtabRCE7" ref="A2:AA35" totalsRowShown="0" headerRowDxfId="53">
  <autoFilter ref="A2:AA35" xr:uid="{459F3DEC-02A5-7D43-9050-0A44C6D3C743}"/>
  <tableColumns count="27">
    <tableColumn id="1" xr3:uid="{129BD579-2343-E748-9D3B-E531DD3D0AA0}" name="type d'établissements" dataDxfId="52"/>
    <tableColumn id="2" xr3:uid="{0EE58995-BABB-1F40-B66E-A8BD39C86F12}" name="Année de passage aux RCE" dataDxfId="51"/>
    <tableColumn id="3" xr3:uid="{BB45AB81-66DF-F64C-BD35-510D87ADE79F}" name="Etablissements" dataDxfId="50"/>
    <tableColumn id="4" xr3:uid="{F55036A9-9626-944F-9880-A1042D5C32F4}" name="masse salariale 2019 affectée  par le vote du CNESER du 12/12/2018 (150 et 231) en euros" dataDxfId="49"/>
    <tableColumn id="5" xr3:uid="{5547E342-B90A-E84F-8EEC-64EB0599FC5D}" name="masse salariale 2020 affectée par le vote du CNESER du 19/11/2019 (150 et 231) en euros" dataDxfId="48"/>
    <tableColumn id="6" xr3:uid="{EFE53928-2656-A646-9B46-B03A39F4A085}" name="masse salariale 2021 affectée par le vote du CNESER du 24/11/2020 (150 et 231) en euros" dataDxfId="47"/>
    <tableColumn id="7" xr3:uid="{05143E44-CD3A-4B49-9A81-63E6FC420209}" name="masse salariale 2022 affectée par le vote du CNESER du 15/11/2021 (150 et 231) en euros"/>
    <tableColumn id="8" xr3:uid="{461A9355-69A2-A449-87DE-A0DB5006E342}" name="progression de la MS entre 2022 et 2021" dataDxfId="46" dataCellStyle="Pourcentage">
      <calculatedColumnFormula>(EtabRCE7[[#This Row],[masse salariale 2022 affectée par le vote du CNESER du 15/11/2021 (150 et 231) en euros]]-EtabRCE7[[#This Row],[masse salariale 2021 affectée par le vote du CNESER du 24/11/2020 (150 et 231) en euros]])/EtabRCE7[[#This Row],[masse salariale 2021 affectée par le vote du CNESER du 24/11/2020 (150 et 231) en euros]]</calculatedColumnFormula>
    </tableColumn>
    <tableColumn id="9" xr3:uid="{1DE7D6E8-BE04-6841-846D-AF500A52DCE0}" name="Subventions pour charges de service public (SCSP) notifiées en AE en 2019 au titre des programmes 150 et 231 (en euros)" dataDxfId="45"/>
    <tableColumn id="10" xr3:uid="{4AF7B66E-8545-DA40-8754-BEBF8AF7F6C0}" name="SCSP notifiées en CP votées par le CNESER en 2019 pour 2020" dataDxfId="44"/>
    <tableColumn id="11" xr3:uid="{8AC50DE8-FE7C-F147-8475-B1675B78D7B4}" name="SCSP notifiées en CP votées par le CNESER en 2020 pour 2021" dataDxfId="43" dataCellStyle="Milliers"/>
    <tableColumn id="26" xr3:uid="{D3E2AB33-2720-2543-846F-A09A4381FEF2}" name="SCSP notifiées en CP votées par le CNESER en 2021pour 2022" dataDxfId="42" dataCellStyle="Milliers"/>
    <tableColumn id="12" xr3:uid="{C68206DF-84A7-9647-990C-239E7D58637C}" name="progression de la SCSP entre 2021 et 2022" dataDxfId="41" dataCellStyle="Pourcentage">
      <calculatedColumnFormula>(EtabRCE7[[#This Row],[SCSP notifiées en CP votées par le CNESER en 2021pour 2022]]-EtabRCE7[[#This Row],[SCSP notifiées en CP votées par le CNESER en 2020 pour 2021]])/EtabRCE7[[#This Row],[SCSP notifiées en CP votées par le CNESER en 2020 pour 2021]]</calculatedColumnFormula>
    </tableColumn>
    <tableColumn id="13" xr3:uid="{436EC323-FE04-8B46-A80C-8AF6002EBB7E}" name="ETPT notifiés en 2019 au titre des programmes 150 et 231" dataDxfId="40"/>
    <tableColumn id="14" xr3:uid="{3E1859E4-FBE4-2148-932B-7F6651BC6F89}" name="ETPT notifiés en 2020 au titre des programmes 150 et 231" dataDxfId="39"/>
    <tableColumn id="15" xr3:uid="{B7F6BF68-6D61-5147-AE1B-014591498FF9}" name="ETPT notifiés en 2021 au titre des programmes 150 et 2312" dataDxfId="38"/>
    <tableColumn id="27" xr3:uid="{8951B90E-2189-6247-99EE-BA68EBC9CBB4}" name="ETPT notifiés en 2022  au titre des programmes 150 et 2313" dataDxfId="37"/>
    <tableColumn id="16" xr3:uid="{92D6CC67-CFDD-CB4A-9C14-F4AA7441916B}" name="étudiants inscrits 2018-2019 " dataDxfId="36"/>
    <tableColumn id="17" xr3:uid="{6784B6F9-B1F3-0947-AAC1-D58D3E6A34D6}" name="étudiants inscrits 2019-2020" dataDxfId="35"/>
    <tableColumn id="28" xr3:uid="{7C26A34F-62D0-C34A-89FB-EE6A6667F45D}" name="étudiants inscrits 2020-2021" dataDxfId="34"/>
    <tableColumn id="18" xr3:uid="{F7928A0F-4213-7746-90D4-9F188AD24195}" name="étudiants inscrits 2021-2022" dataDxfId="33"/>
    <tableColumn id="19" xr3:uid="{D39CDA35-A1CA-F145-84EF-20DECBF3CEFF}" name="SCSP/étudiant en 2021" dataDxfId="32">
      <calculatedColumnFormula>EtabRCE7[[#This Row],[SCSP notifiées en CP votées par le CNESER en 2020 pour 2021]]/EtabRCE7[[#This Row],[étudiants inscrits 2020-2021]]</calculatedColumnFormula>
    </tableColumn>
    <tableColumn id="20" xr3:uid="{BD2CDA74-6A53-F94F-A8D9-4F323F13C488}" name="ETPT/100 étudiants en 2020" dataDxfId="31">
      <calculatedColumnFormula>EtabRCE7[[#This Row],[ETPT notifiés en 2021 au titre des programmes 150 et 2312]]/EtabRCE7[[#This Row],[étudiants inscrits 2020-2021]]*100</calculatedColumnFormula>
    </tableColumn>
    <tableColumn id="21" xr3:uid="{00A4EE7B-7974-A047-9EF8-2E57AE076768}" name="coût moyen de l'emploi d'un agent titulaire" dataDxfId="30">
      <calculatedColumnFormula>D3/P3</calculatedColumnFormula>
    </tableColumn>
    <tableColumn id="22" xr3:uid="{8C1DF5BA-9C34-D84E-96EC-D69B97BBC318}" name="Colonne1" dataDxfId="29"/>
    <tableColumn id="23" xr3:uid="{EBBEA10F-0B3B-B443-8619-16F32DF8ABEA}" name="Colonne2" dataDxfId="28"/>
    <tableColumn id="24" xr3:uid="{0D1EC8D7-75CD-644D-85E7-16B194C9B045}" name="Colonne3" dataDxfId="27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2EB1BD1D-05B4-894B-93EA-3C9603055362}" name="Tableau58" displayName="Tableau58" ref="A41:AA102" totalsRowShown="0">
  <autoFilter ref="A41:AA102" xr:uid="{2EB1BD1D-05B4-894B-93EA-3C9603055362}"/>
  <sortState xmlns:xlrd2="http://schemas.microsoft.com/office/spreadsheetml/2017/richdata2" ref="A42:AA102">
    <sortCondition ref="C42:C102"/>
  </sortState>
  <tableColumns count="27">
    <tableColumn id="1" xr3:uid="{4DD0EDF2-4E54-D74C-9B4A-6DAD9A2C54E2}" name="établissements non RCE" dataDxfId="26"/>
    <tableColumn id="2" xr3:uid="{8AFD9D20-DA44-0347-AF85-BAC8713DDEED}" name="Année de passage aux RCE" dataDxfId="25"/>
    <tableColumn id="3" xr3:uid="{59FD85DF-9C92-524B-9F88-F57E8D746C32}" name="Etablissements" dataDxfId="19"/>
    <tableColumn id="4" xr3:uid="{6DED11CF-8A62-3F4E-8AE0-8346C7F8ABEE}" name="masse salariale affectée 2019 par le vote du CNESER du 12/12/2018 (150 et 231) en euros" dataDxfId="18" dataCellStyle="Monétaire"/>
    <tableColumn id="5" xr3:uid="{2BAAE793-B826-B843-9E80-4187DA1318A3}" name="masse salariale 2020 affectée par le vote du CNESER du 19/11/2019 (150 et 231) en euros" dataDxfId="17" dataCellStyle="Monétaire"/>
    <tableColumn id="6" xr3:uid="{762E62BB-3CD0-0E42-A956-66FEB7AD3B3A}" name="masse salariale 2021 affectée par le vote du CNESER du 24/11/2020 (150 et 231) en euros" dataDxfId="16" dataCellStyle="Monétaire"/>
    <tableColumn id="7" xr3:uid="{CB75D6C9-52C6-7546-8668-D049DE1E04FA}" name="masse salariale 2022 affectée par le vote du CNESER du15/11/2021 (150 et 231) en euros" dataDxfId="15" dataCellStyle="Monétaire"/>
    <tableColumn id="8" xr3:uid="{E31C9F41-3C7D-754D-8D0D-6793A464FFA3}" name="progression de la MS entre 2022/2021" dataDxfId="14" dataCellStyle="Pourcentage">
      <calculatedColumnFormula>(Tableau58[[#This Row],[masse salariale 2022 affectée par le vote du CNESER du15/11/2021 (150 et 231) en euros]]-Tableau58[[#This Row],[masse salariale 2021 affectée par le vote du CNESER du 24/11/2020 (150 et 231) en euros]])/Tableau58[[#This Row],[masse salariale 2021 affectée par le vote du CNESER du 24/11/2020 (150 et 231) en euros]]</calculatedColumnFormula>
    </tableColumn>
    <tableColumn id="9" xr3:uid="{8A67F6AA-82E4-2446-A5CC-DB12C2354328}" name="Subventions pour charges de service public (SCSP) notifiées en AE en 2019 au titre des programmes 150 et 231 (en euros)" dataDxfId="13"/>
    <tableColumn id="10" xr3:uid="{44692D63-4A93-224A-93CE-E01ACBD6FA1E}" name="SCSP notifiées en CP votées par le CNESER en 2019 pour 2020" dataDxfId="12"/>
    <tableColumn id="11" xr3:uid="{69976D75-828B-9F4D-BC14-7421E324D9A5}" name="SCSP notifiées en CP votées par le CNESER en 2020 pour 2021" dataDxfId="11"/>
    <tableColumn id="25" xr3:uid="{663AE284-4E50-044E-A660-504F52FF1422}" name="SCSP notifiées en CP votées par le CNESER en 2021 pour 2022" dataDxfId="10"/>
    <tableColumn id="12" xr3:uid="{657C656C-723D-BE46-B4BE-A0F4227C2AA1}" name="progression de la SCSP entre 2021 et 2020" dataDxfId="9" dataCellStyle="Pourcentage">
      <calculatedColumnFormula>(Tableau58[[#This Row],[SCSP notifiées en CP votées par le CNESER en 2021 pour 2022]]-Tableau58[[#This Row],[SCSP notifiées en CP votées par le CNESER en 2020 pour 2021]])/Tableau58[[#This Row],[SCSP notifiées en CP votées par le CNESER en 2020 pour 2021]]</calculatedColumnFormula>
    </tableColumn>
    <tableColumn id="13" xr3:uid="{616C1530-72CD-F04F-AD1E-47D700FE4E52}" name="ETPT notifiés en 2019 au titre des programmes 150 et 231" dataDxfId="8"/>
    <tableColumn id="14" xr3:uid="{17E8FEF0-6612-754B-B385-F4D626EA7EFD}" name="ETPT notifiés en 2020 au titre des programmes 150 et 231" dataDxfId="7"/>
    <tableColumn id="15" xr3:uid="{8B43E3E9-CA52-CD4C-9B99-B0B930A1D023}" name="ETPT notifiés en 2021 au titre des programmes 150 et 231" dataDxfId="6"/>
    <tableColumn id="26" xr3:uid="{42122BF5-F0AF-3E4C-A1B5-B0BC77782C7D}" name="ETPT notifiés en 2022 au titre des programmes 150 et 2312" dataDxfId="5"/>
    <tableColumn id="16" xr3:uid="{6BB5EC33-3681-D14E-9CDC-DB4DB6968CC9}" name="étudiants inscrits 2018-2019 " dataDxfId="4" dataCellStyle="Milliers"/>
    <tableColumn id="17" xr3:uid="{0C8E6A8B-1BEC-F645-83CE-A09DD8802EC9}" name="étudiants inscrits 2019-2020" dataDxfId="3" dataCellStyle="Milliers"/>
    <tableColumn id="18" xr3:uid="{85507ED7-A587-A343-996E-472A4314A9C2}" name="étudiants inscrits 2020-2021" dataDxfId="2" dataCellStyle="Milliers"/>
    <tableColumn id="27" xr3:uid="{78C6305F-95AB-1542-9CCD-6AB457E93A10}" name="étudiants inscrits 2021-2022" dataDxfId="0" dataCellStyle="Milliers"/>
    <tableColumn id="19" xr3:uid="{BA5FF756-F651-0E4E-BD6F-BD41BC133D18}" name="SCSP/étudiant" dataDxfId="1"/>
    <tableColumn id="20" xr3:uid="{621BAC94-3DF5-FF46-9A0E-ACA4FB0E57FA}" name="ETPT/100 étudiants" dataDxfId="24"/>
    <tableColumn id="21" xr3:uid="{2B60638B-CB6C-C047-8D69-83766D500316}" name="coût moyen de l'emploi d'un agent titulaire" dataDxfId="23"/>
    <tableColumn id="22" xr3:uid="{EBC3C08A-A256-0A45-93EF-46961256E7F2}" name="Colonne1" dataDxfId="22"/>
    <tableColumn id="23" xr3:uid="{9D1F81F3-2209-AD48-A559-A408FABBEF1C}" name="Colonne2" dataDxfId="21"/>
    <tableColumn id="24" xr3:uid="{8EE1BF3D-9B56-7E4B-94EF-D6382CBADA29}" name="Colonne3" dataDxfId="2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budget.gouv.fr/documentation/documents-budgetaires/exercice-2020/projet-de-loi-de-reglement/budget-general?docuement_dossier%5B0%5D=mission_nomenclature%3A14883" TargetMode="External"/><Relationship Id="rId2" Type="http://schemas.openxmlformats.org/officeDocument/2006/relationships/hyperlink" Target="https://cache.media.enseignementsup-recherche.gouv.fr/file/2020/46/5/NI_2020_19_effectif_universite_1364465.pdf" TargetMode="External"/><Relationship Id="rId1" Type="http://schemas.openxmlformats.org/officeDocument/2006/relationships/hyperlink" Target="https://data.enseignementsup-recherche.gouv.fr/api/v1/console/datasets/1.0/search/" TargetMode="External"/><Relationship Id="rId4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hyperlink" Target="https://data.enseignementsup-recherche.gouv.fr/api/v1/console/datasets/1.0/search/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hyperlink" Target="https://data.enseignementsup-recherche.gouv.fr/api/v1/console/datasets/1.0/search/" TargetMode="External"/><Relationship Id="rId1" Type="http://schemas.openxmlformats.org/officeDocument/2006/relationships/hyperlink" Target="https://www.performance-publique.budget.gouv.fr/sites/performance_publique/files/farandole/ressources/2019/rap/pdf/RAP2019_BG_Recherche_enseignement_superieur.pdf" TargetMode="External"/><Relationship Id="rId4" Type="http://schemas.openxmlformats.org/officeDocument/2006/relationships/table" Target="../tables/table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table" Target="../tables/table4.xml"/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EE13E8-B382-154B-B764-9DA88CAD723F}">
  <dimension ref="A1:J22"/>
  <sheetViews>
    <sheetView tabSelected="1" topLeftCell="A13" zoomScale="97" zoomScaleNormal="97" workbookViewId="0">
      <selection activeCell="S62" sqref="S62"/>
    </sheetView>
  </sheetViews>
  <sheetFormatPr baseColWidth="10" defaultRowHeight="16"/>
  <cols>
    <col min="1" max="1" width="21.83203125" customWidth="1"/>
    <col min="2" max="2" width="36" customWidth="1"/>
    <col min="3" max="3" width="13" bestFit="1" customWidth="1"/>
    <col min="4" max="4" width="36.5" bestFit="1" customWidth="1"/>
    <col min="5" max="5" width="22" bestFit="1" customWidth="1"/>
    <col min="6" max="6" width="13" bestFit="1" customWidth="1"/>
    <col min="7" max="7" width="36.5" bestFit="1" customWidth="1"/>
    <col min="8" max="8" width="22" bestFit="1" customWidth="1"/>
    <col min="9" max="9" width="13" bestFit="1" customWidth="1"/>
    <col min="10" max="10" width="21.83203125" customWidth="1"/>
    <col min="11" max="11" width="21.6640625" customWidth="1"/>
  </cols>
  <sheetData>
    <row r="1" spans="1:10">
      <c r="C1">
        <v>2019</v>
      </c>
      <c r="D1">
        <v>2019</v>
      </c>
      <c r="E1" t="s">
        <v>388</v>
      </c>
      <c r="F1">
        <v>2020</v>
      </c>
      <c r="G1">
        <v>2020</v>
      </c>
      <c r="H1" t="s">
        <v>389</v>
      </c>
      <c r="I1">
        <v>2021</v>
      </c>
      <c r="J1">
        <v>2021</v>
      </c>
    </row>
    <row r="2" spans="1:10">
      <c r="C2" t="s">
        <v>179</v>
      </c>
      <c r="D2" t="s">
        <v>341</v>
      </c>
      <c r="E2" s="96">
        <f>1.1%</f>
        <v>1.1000000000000001E-2</v>
      </c>
      <c r="F2" t="s">
        <v>179</v>
      </c>
      <c r="G2" t="s">
        <v>341</v>
      </c>
      <c r="H2" s="102">
        <v>5.0000000000000001E-3</v>
      </c>
      <c r="I2" t="s">
        <v>179</v>
      </c>
      <c r="J2" t="s">
        <v>341</v>
      </c>
    </row>
    <row r="3" spans="1:10">
      <c r="A3" s="188" t="s">
        <v>196</v>
      </c>
      <c r="C3" s="11">
        <v>6933.6735106048127</v>
      </c>
      <c r="D3" s="51">
        <v>9.0032116034064824</v>
      </c>
      <c r="F3" s="11">
        <f>6391.18592967725*(1-$E$2)</f>
        <v>6320.8828844507998</v>
      </c>
      <c r="G3" s="51">
        <v>8.2886775995525088</v>
      </c>
      <c r="I3" s="11">
        <f>6384.75396107466*(1-$E$2-$H$2)</f>
        <v>6282.5978976974648</v>
      </c>
      <c r="J3" s="51">
        <v>8.1639046556095263</v>
      </c>
    </row>
    <row r="4" spans="1:10">
      <c r="A4" s="188" t="s">
        <v>214</v>
      </c>
      <c r="C4" s="11">
        <v>4811.4342541699061</v>
      </c>
      <c r="D4" s="51">
        <v>6.1622605253419609</v>
      </c>
      <c r="F4" s="11">
        <f>4765.33342484461*(1-$E$2)</f>
        <v>4712.9147571713193</v>
      </c>
      <c r="G4" s="51">
        <v>6.1259758269451421</v>
      </c>
      <c r="I4" s="11">
        <f>4701.46706113857*(1-$E$2-$H$2)</f>
        <v>4626.2435881603524</v>
      </c>
      <c r="J4" s="51">
        <v>5.9771764924053281</v>
      </c>
    </row>
    <row r="5" spans="1:10">
      <c r="A5" s="188" t="s">
        <v>207</v>
      </c>
      <c r="C5" s="11">
        <v>7302.6349361930916</v>
      </c>
      <c r="D5" s="51">
        <v>9.4940233465197732</v>
      </c>
      <c r="F5" s="11">
        <f>6548.38184433026*(1-$E$2)</f>
        <v>6476.349644042627</v>
      </c>
      <c r="G5" s="51">
        <v>8.5240147070857564</v>
      </c>
      <c r="I5" s="11">
        <f>6524.59092464411*(1-$E$2-$H$2)</f>
        <v>6420.1974698498043</v>
      </c>
      <c r="J5" s="51">
        <v>8.3581814241114873</v>
      </c>
    </row>
    <row r="6" spans="1:10">
      <c r="A6" s="188" t="s">
        <v>208</v>
      </c>
      <c r="C6" s="11">
        <v>7292.8673019766484</v>
      </c>
      <c r="D6" s="51">
        <v>9.1419358986405275</v>
      </c>
      <c r="F6" s="11">
        <f>6627.36239963504*(1-$E$2)</f>
        <v>6554.4614132390543</v>
      </c>
      <c r="G6" s="51">
        <v>8.2363138686131396</v>
      </c>
      <c r="I6" s="11">
        <f>6646.56554893832*(1-$E$2-$H$2)</f>
        <v>6540.2205001553066</v>
      </c>
      <c r="J6" s="51">
        <v>8.1270510067657895</v>
      </c>
    </row>
    <row r="7" spans="1:10">
      <c r="A7" s="188" t="s">
        <v>209</v>
      </c>
      <c r="C7" s="11">
        <v>8209.1256929788397</v>
      </c>
      <c r="D7" s="51">
        <v>11.209490349058287</v>
      </c>
      <c r="F7" s="11">
        <f>7856.62123148907*(1-$E$2)</f>
        <v>7770.1983979426905</v>
      </c>
      <c r="G7" s="51">
        <v>10.608508996189283</v>
      </c>
      <c r="I7" s="11">
        <f>8123.96623038273*(1-$E$2-$H$2)</f>
        <v>7993.9827706966062</v>
      </c>
      <c r="J7" s="51">
        <v>10.913715030084981</v>
      </c>
    </row>
    <row r="9" spans="1:10">
      <c r="A9" s="188" t="s">
        <v>342</v>
      </c>
      <c r="B9" s="90" t="s">
        <v>390</v>
      </c>
      <c r="C9" s="76">
        <v>3329.1097088088968</v>
      </c>
      <c r="D9" s="190">
        <v>4.4117647058823533</v>
      </c>
      <c r="E9" s="90" t="s">
        <v>390</v>
      </c>
      <c r="F9" s="76">
        <f>3610.91839486102*(1-$E$2)</f>
        <v>3571.1982925175485</v>
      </c>
      <c r="G9" s="190">
        <v>4.7821087275466914</v>
      </c>
      <c r="H9" s="90" t="s">
        <v>390</v>
      </c>
      <c r="I9" s="76">
        <f>3647.6584321345*(1-$E$2-$H$2)</f>
        <v>3589.2958972203478</v>
      </c>
      <c r="J9" s="190">
        <v>4.7821087275466914</v>
      </c>
    </row>
    <row r="10" spans="1:10">
      <c r="A10" s="189" t="s">
        <v>346</v>
      </c>
      <c r="B10" s="90" t="s">
        <v>353</v>
      </c>
      <c r="C10" s="76">
        <v>5856.2659554673446</v>
      </c>
      <c r="D10" s="190">
        <v>7.2753209700427961</v>
      </c>
      <c r="E10" s="90" t="s">
        <v>353</v>
      </c>
      <c r="F10" s="76">
        <f>5908.06846914507*(1-$E$2)</f>
        <v>5843.0797159844742</v>
      </c>
      <c r="G10" s="190">
        <v>7.3413443484791587</v>
      </c>
      <c r="H10" s="90" t="s">
        <v>353</v>
      </c>
      <c r="I10" s="76">
        <f>6105.98887325745*(1-$E$2-$H$2)</f>
        <v>6008.2930512853309</v>
      </c>
      <c r="J10" s="190">
        <v>7.5009592019439824</v>
      </c>
    </row>
    <row r="11" spans="1:10">
      <c r="A11" s="188" t="s">
        <v>343</v>
      </c>
      <c r="B11" s="90" t="s">
        <v>351</v>
      </c>
      <c r="C11" s="76">
        <v>5430.3182509010376</v>
      </c>
      <c r="D11" s="190">
        <v>6.7827521820313512</v>
      </c>
      <c r="E11" s="90" t="s">
        <v>351</v>
      </c>
      <c r="F11" s="76">
        <f>5016.65171503958*(1-$E$2)</f>
        <v>4961.4685461741446</v>
      </c>
      <c r="G11" s="190">
        <v>6.244503078276165</v>
      </c>
      <c r="H11" s="90" t="s">
        <v>351</v>
      </c>
      <c r="I11" s="76">
        <f>4913.09551574667*(1-$E$2-$H$2)</f>
        <v>4834.4859874947233</v>
      </c>
      <c r="J11" s="190">
        <v>5.9917910161494499</v>
      </c>
    </row>
    <row r="12" spans="1:10">
      <c r="A12" s="189" t="s">
        <v>347</v>
      </c>
      <c r="B12" s="90" t="s">
        <v>358</v>
      </c>
      <c r="C12" s="76">
        <v>10629.658577785101</v>
      </c>
      <c r="D12" s="190">
        <v>13.740112063282794</v>
      </c>
      <c r="E12" s="90" t="s">
        <v>356</v>
      </c>
      <c r="F12" s="76">
        <f>9509.94406179469*(1-$E$2)</f>
        <v>9405.3346771149481</v>
      </c>
      <c r="G12" s="190">
        <v>13.306482994785588</v>
      </c>
      <c r="H12" s="90" t="s">
        <v>356</v>
      </c>
      <c r="I12" s="76">
        <f>9523.9063311248*(1-$E$2-$H$2)</f>
        <v>9371.5238298268014</v>
      </c>
      <c r="J12" s="190">
        <v>13.249254136154054</v>
      </c>
    </row>
    <row r="13" spans="1:10">
      <c r="A13" s="188" t="s">
        <v>344</v>
      </c>
      <c r="B13" s="90" t="s">
        <v>350</v>
      </c>
      <c r="C13" s="76">
        <v>4195.5297513321493</v>
      </c>
      <c r="D13" s="190">
        <v>4.8401420959147421</v>
      </c>
      <c r="E13" s="90" t="s">
        <v>350</v>
      </c>
      <c r="F13" s="76">
        <f>3951.79859387924*(1-$E$2)</f>
        <v>3908.3288093465681</v>
      </c>
      <c r="G13" s="190">
        <v>4.5078577336641859</v>
      </c>
      <c r="H13" s="90" t="s">
        <v>350</v>
      </c>
      <c r="I13" s="76">
        <f>3720.19092768173*(1-$E$2-$H$2)</f>
        <v>3660.6678728388224</v>
      </c>
      <c r="J13" s="190">
        <v>4.0527979178285927</v>
      </c>
    </row>
    <row r="14" spans="1:10">
      <c r="A14" s="189" t="s">
        <v>348</v>
      </c>
      <c r="B14" s="90" t="s">
        <v>359</v>
      </c>
      <c r="C14" s="76">
        <v>9518.8689308777812</v>
      </c>
      <c r="D14" s="190">
        <v>14.183209758430998</v>
      </c>
      <c r="E14" s="90" t="s">
        <v>355</v>
      </c>
      <c r="F14" s="76">
        <f>8759.73347639485*(1-$E$2)</f>
        <v>8663.376408154505</v>
      </c>
      <c r="G14" s="190">
        <v>13.062982832618026</v>
      </c>
      <c r="H14" s="90" t="s">
        <v>357</v>
      </c>
      <c r="I14" s="76">
        <f>10183.5401911186*(1-$E$2-$H$2)</f>
        <v>10020.603548060702</v>
      </c>
      <c r="J14" s="190">
        <v>13.279932546374368</v>
      </c>
    </row>
    <row r="15" spans="1:10">
      <c r="A15" s="188" t="s">
        <v>345</v>
      </c>
      <c r="B15" s="90" t="s">
        <v>354</v>
      </c>
      <c r="C15" s="76">
        <v>7356.177715228574</v>
      </c>
      <c r="D15" s="190">
        <v>9.9752499272056685</v>
      </c>
      <c r="E15" s="90" t="s">
        <v>354</v>
      </c>
      <c r="F15" s="76">
        <f>6592.5405921681*(1-$E$2)</f>
        <v>6520.0226456542514</v>
      </c>
      <c r="G15" s="190">
        <v>8.9237648693236089</v>
      </c>
      <c r="H15" s="90" t="s">
        <v>354</v>
      </c>
      <c r="I15" s="76">
        <f>6873.92931397589*(1-$E$2-$H$2)</f>
        <v>6763.9464449522757</v>
      </c>
      <c r="J15" s="190">
        <v>9.2104673567235746</v>
      </c>
    </row>
    <row r="16" spans="1:10">
      <c r="A16" s="189" t="s">
        <v>349</v>
      </c>
      <c r="B16" s="90" t="s">
        <v>352</v>
      </c>
      <c r="C16" s="76">
        <v>9810.9085638120632</v>
      </c>
      <c r="D16" s="190">
        <v>13.065644785071642</v>
      </c>
      <c r="E16" s="90" t="s">
        <v>352</v>
      </c>
      <c r="F16" s="76">
        <f>8802.99537479112*(1-$E$2)</f>
        <v>8706.1624256684172</v>
      </c>
      <c r="G16" s="190">
        <v>11.700286464550013</v>
      </c>
      <c r="H16" s="90" t="s">
        <v>352</v>
      </c>
      <c r="I16" s="76">
        <f>9057.94396617285*(1-$E$2-$H$2)</f>
        <v>8913.0168627140847</v>
      </c>
      <c r="J16" s="190">
        <v>11.927721838590941</v>
      </c>
    </row>
    <row r="18" spans="1:10">
      <c r="A18" s="189" t="s">
        <v>361</v>
      </c>
      <c r="C18" s="191">
        <f>(C10-C9)/C9</f>
        <v>0.75910873107351717</v>
      </c>
      <c r="D18" s="191">
        <f>(D10-D9)/D9</f>
        <v>0.64907275320970037</v>
      </c>
      <c r="E18" s="191"/>
      <c r="F18" s="191">
        <f>(F10-F9)/F9</f>
        <v>0.63616781745976436</v>
      </c>
      <c r="G18" s="191">
        <f>(G10-G9)/G9</f>
        <v>0.53516884846016488</v>
      </c>
      <c r="H18" s="191"/>
      <c r="I18" s="191">
        <f>(I10-I9)/I9</f>
        <v>0.6739475438451098</v>
      </c>
      <c r="J18" s="191">
        <f>(J10-J9)/J9</f>
        <v>0.56854635251928087</v>
      </c>
    </row>
    <row r="19" spans="1:10">
      <c r="A19" s="188" t="s">
        <v>360</v>
      </c>
      <c r="C19" s="191">
        <f>(C12-C11)/C11</f>
        <v>0.95746512205271794</v>
      </c>
      <c r="D19" s="191">
        <f>(D12-D11)/D11</f>
        <v>1.0257428982416101</v>
      </c>
      <c r="E19" s="191"/>
      <c r="F19" s="191">
        <f>(F12-F11)/F11</f>
        <v>0.89567556250407521</v>
      </c>
      <c r="G19" s="191">
        <f>(G12-G11)/G11</f>
        <v>1.1309114317001709</v>
      </c>
      <c r="H19" s="191"/>
      <c r="I19" s="191">
        <f>(I12-I11)/I11</f>
        <v>0.93847367725709641</v>
      </c>
      <c r="J19" s="191">
        <f>(J12-J11)/J11</f>
        <v>1.2112343538758004</v>
      </c>
    </row>
    <row r="20" spans="1:10">
      <c r="A20" s="188" t="s">
        <v>362</v>
      </c>
      <c r="C20" s="191">
        <f>(C14-C13)/C13</f>
        <v>1.268812163197123</v>
      </c>
      <c r="D20" s="191">
        <f>(D14-D13)/D13</f>
        <v>1.9303292088061108</v>
      </c>
      <c r="E20" s="191"/>
      <c r="F20" s="191">
        <f>(F14-F13)/F13</f>
        <v>1.2166447171580048</v>
      </c>
      <c r="G20" s="191">
        <f>(G14-G13)/G13</f>
        <v>1.8978249990156317</v>
      </c>
      <c r="H20" s="191"/>
      <c r="I20" s="191">
        <f>(I14-I13)/I13</f>
        <v>1.7373703095030564</v>
      </c>
      <c r="J20" s="191">
        <f>(J14-J13)/J13</f>
        <v>2.2767319801352173</v>
      </c>
    </row>
    <row r="21" spans="1:10">
      <c r="A21" s="188" t="s">
        <v>363</v>
      </c>
      <c r="C21" s="191">
        <f>(C16-C15)/C15</f>
        <v>0.33369651245670251</v>
      </c>
      <c r="D21" s="191">
        <f>(D16-D15)/D15</f>
        <v>0.3098062585316772</v>
      </c>
      <c r="E21" s="191"/>
      <c r="F21" s="191">
        <f>(F16-F15)/F15</f>
        <v>0.33529634770076749</v>
      </c>
      <c r="G21" s="191">
        <f>(G16-G15)/G15</f>
        <v>0.31113791498148863</v>
      </c>
      <c r="H21" s="191"/>
      <c r="I21" s="191">
        <f>(I16-I15)/I15</f>
        <v>0.31772433966646701</v>
      </c>
      <c r="J21" s="191">
        <f>(J16-J15)/J15</f>
        <v>0.29501808937890539</v>
      </c>
    </row>
    <row r="22" spans="1:10">
      <c r="B22" t="s">
        <v>380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539881-494F-AA43-B555-105C61DA08E1}">
  <dimension ref="A1:CH98"/>
  <sheetViews>
    <sheetView zoomScale="127" zoomScaleNormal="127" workbookViewId="0"/>
  </sheetViews>
  <sheetFormatPr baseColWidth="10" defaultRowHeight="16"/>
  <cols>
    <col min="1" max="1" width="9.6640625" customWidth="1"/>
    <col min="2" max="2" width="8" customWidth="1"/>
    <col min="3" max="3" width="19.83203125" customWidth="1"/>
    <col min="4" max="4" width="11" bestFit="1" customWidth="1"/>
    <col min="5" max="5" width="12.33203125" customWidth="1"/>
    <col min="6" max="6" width="8.6640625" customWidth="1"/>
    <col min="7" max="7" width="13" customWidth="1"/>
    <col min="8" max="8" width="8.1640625" customWidth="1"/>
    <col min="9" max="9" width="10.6640625" customWidth="1"/>
    <col min="10" max="10" width="11.83203125" customWidth="1"/>
    <col min="11" max="11" width="9.6640625" customWidth="1"/>
    <col min="12" max="12" width="8.33203125" customWidth="1"/>
    <col min="13" max="13" width="11" bestFit="1" customWidth="1"/>
    <col min="14" max="14" width="12.5" customWidth="1"/>
    <col min="15" max="15" width="10.6640625" customWidth="1"/>
    <col min="16" max="16" width="15.6640625" customWidth="1"/>
    <col min="17" max="18" width="14.5" customWidth="1"/>
    <col min="19" max="19" width="18.1640625" customWidth="1"/>
    <col min="20" max="20" width="15.5" customWidth="1"/>
    <col min="21" max="21" width="11" bestFit="1" customWidth="1"/>
    <col min="22" max="22" width="14.83203125" bestFit="1" customWidth="1"/>
    <col min="23" max="23" width="15" bestFit="1" customWidth="1"/>
    <col min="24" max="24" width="13.33203125" bestFit="1" customWidth="1"/>
    <col min="25" max="25" width="11" bestFit="1" customWidth="1"/>
    <col min="26" max="26" width="13.5" bestFit="1" customWidth="1"/>
    <col min="27" max="27" width="11" bestFit="1" customWidth="1"/>
  </cols>
  <sheetData>
    <row r="1" spans="1:86">
      <c r="A1" s="93" t="s">
        <v>221</v>
      </c>
      <c r="B1" s="93" t="s">
        <v>225</v>
      </c>
      <c r="C1" s="93"/>
      <c r="D1" s="93" t="s">
        <v>367</v>
      </c>
      <c r="E1" s="93"/>
      <c r="F1" s="93"/>
      <c r="G1" s="128"/>
      <c r="H1" s="128"/>
      <c r="I1" s="93" t="s">
        <v>372</v>
      </c>
      <c r="J1" s="93"/>
      <c r="K1" s="93"/>
      <c r="L1" s="93"/>
      <c r="M1" s="93"/>
      <c r="N1" s="93"/>
      <c r="O1" s="93" t="s">
        <v>373</v>
      </c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  <c r="AB1" s="93"/>
      <c r="AC1" s="93"/>
      <c r="AD1" s="93"/>
      <c r="AE1" s="93"/>
      <c r="AF1" s="93"/>
      <c r="AG1" s="93"/>
      <c r="AH1" s="93"/>
      <c r="AI1" s="93"/>
      <c r="AJ1" s="93"/>
      <c r="AK1" s="93"/>
      <c r="AL1" s="93"/>
      <c r="AM1" s="93"/>
      <c r="AN1" s="93"/>
      <c r="AO1" s="93"/>
      <c r="AP1" s="93"/>
      <c r="AQ1" s="93"/>
      <c r="AR1" s="93"/>
      <c r="AS1" s="93"/>
      <c r="AT1" s="93"/>
      <c r="AU1" s="93"/>
      <c r="AV1" s="93"/>
      <c r="AW1" s="93"/>
      <c r="AX1" s="93"/>
      <c r="AY1" s="93"/>
      <c r="AZ1" s="93"/>
      <c r="BA1" s="93"/>
      <c r="BB1" s="93"/>
      <c r="BC1" s="93"/>
      <c r="BD1" s="93"/>
      <c r="BE1" s="93"/>
      <c r="BF1" s="93"/>
      <c r="BG1" s="93"/>
      <c r="BH1" s="93"/>
      <c r="BI1" s="93"/>
      <c r="BJ1" s="93"/>
      <c r="BK1" s="93"/>
      <c r="BL1" s="93"/>
      <c r="BM1" s="93"/>
      <c r="BN1" s="93"/>
      <c r="BO1" s="93"/>
      <c r="BP1" s="93"/>
      <c r="BQ1" s="93"/>
      <c r="BR1" s="93"/>
      <c r="BS1" s="93"/>
      <c r="BT1" s="93"/>
      <c r="BU1" s="93"/>
      <c r="BV1" s="93"/>
      <c r="BW1" s="93"/>
      <c r="BX1" s="93"/>
      <c r="BY1" s="93"/>
      <c r="BZ1" s="93"/>
      <c r="CA1" s="93"/>
      <c r="CB1" s="93"/>
      <c r="CC1" s="93"/>
      <c r="CD1" s="93"/>
      <c r="CE1" s="93"/>
      <c r="CF1" s="93"/>
      <c r="CG1" s="93"/>
      <c r="CH1" s="93"/>
    </row>
    <row r="2" spans="1:86">
      <c r="A2" s="93" t="s">
        <v>220</v>
      </c>
      <c r="B2" s="93" t="s">
        <v>368</v>
      </c>
      <c r="C2" s="93"/>
      <c r="D2" s="78" t="s">
        <v>329</v>
      </c>
      <c r="E2" s="93"/>
      <c r="F2" s="93"/>
      <c r="G2" s="128" t="s">
        <v>223</v>
      </c>
      <c r="H2" s="128"/>
      <c r="I2" s="129" t="s">
        <v>227</v>
      </c>
      <c r="J2" s="129"/>
      <c r="K2" s="93"/>
      <c r="L2" s="93"/>
      <c r="M2" s="93"/>
      <c r="N2" s="93"/>
      <c r="O2" s="78" t="s">
        <v>374</v>
      </c>
      <c r="P2" s="93"/>
      <c r="Q2" s="93"/>
      <c r="R2" s="93"/>
      <c r="S2" s="93"/>
      <c r="T2" s="93"/>
      <c r="U2" s="93"/>
      <c r="V2" s="130"/>
      <c r="W2" s="131">
        <f>'2021 CNESER'!V2*'2020 CNESER'!L72</f>
        <v>0</v>
      </c>
      <c r="X2" s="93"/>
      <c r="Y2" s="93"/>
      <c r="Z2" s="93"/>
      <c r="AA2" s="93"/>
      <c r="AB2" s="93"/>
      <c r="AC2" s="93"/>
      <c r="AD2" s="93"/>
      <c r="AE2" s="93"/>
      <c r="AF2" s="93"/>
      <c r="AG2" s="93"/>
      <c r="AH2" s="93"/>
      <c r="AI2" s="93"/>
      <c r="AJ2" s="93"/>
      <c r="AK2" s="93"/>
      <c r="AL2" s="93"/>
      <c r="AM2" s="93"/>
      <c r="AN2" s="93"/>
      <c r="AO2" s="93"/>
      <c r="AP2" s="93"/>
      <c r="AQ2" s="93"/>
      <c r="AR2" s="93"/>
      <c r="AS2" s="93"/>
      <c r="AT2" s="93"/>
      <c r="AU2" s="93"/>
      <c r="AV2" s="93"/>
      <c r="AW2" s="93"/>
      <c r="AX2" s="93"/>
      <c r="AY2" s="93"/>
      <c r="AZ2" s="93"/>
      <c r="BA2" s="93"/>
      <c r="BB2" s="93"/>
      <c r="BC2" s="93"/>
      <c r="BD2" s="93"/>
      <c r="BE2" s="93"/>
      <c r="BF2" s="93"/>
      <c r="BG2" s="93"/>
      <c r="BH2" s="93"/>
      <c r="BI2" s="93"/>
      <c r="BJ2" s="93"/>
      <c r="BK2" s="93"/>
      <c r="BL2" s="93"/>
      <c r="BM2" s="93"/>
      <c r="BN2" s="93"/>
      <c r="BO2" s="93"/>
      <c r="BP2" s="93"/>
      <c r="BQ2" s="93"/>
      <c r="BR2" s="93"/>
      <c r="BS2" s="93"/>
      <c r="BT2" s="93"/>
      <c r="BU2" s="93"/>
      <c r="BV2" s="93"/>
      <c r="BW2" s="93"/>
      <c r="BX2" s="93"/>
      <c r="BY2" s="93"/>
      <c r="BZ2" s="93"/>
      <c r="CA2" s="93"/>
      <c r="CB2" s="93"/>
      <c r="CC2" s="93"/>
      <c r="CD2" s="93"/>
      <c r="CE2" s="93"/>
      <c r="CF2" s="93"/>
      <c r="CG2" s="93"/>
      <c r="CH2" s="93"/>
    </row>
    <row r="3" spans="1:86" ht="68">
      <c r="A3" s="132" t="s">
        <v>213</v>
      </c>
      <c r="B3" s="132" t="s">
        <v>62</v>
      </c>
      <c r="C3" s="132" t="s">
        <v>0</v>
      </c>
      <c r="D3" s="132" t="s">
        <v>242</v>
      </c>
      <c r="E3" s="132" t="s">
        <v>320</v>
      </c>
      <c r="F3" s="132" t="s">
        <v>314</v>
      </c>
      <c r="G3" s="132" t="s">
        <v>312</v>
      </c>
      <c r="H3" s="132" t="s">
        <v>313</v>
      </c>
      <c r="I3" s="132" t="s">
        <v>379</v>
      </c>
      <c r="J3" s="132" t="s">
        <v>310</v>
      </c>
      <c r="K3" s="132" t="s">
        <v>337</v>
      </c>
      <c r="L3" s="132" t="s">
        <v>376</v>
      </c>
      <c r="M3" s="132" t="s">
        <v>179</v>
      </c>
      <c r="N3" s="132" t="s">
        <v>180</v>
      </c>
      <c r="O3" s="132" t="s">
        <v>364</v>
      </c>
      <c r="P3" s="132" t="s">
        <v>366</v>
      </c>
      <c r="Q3" s="132" t="s">
        <v>378</v>
      </c>
      <c r="R3" s="132" t="s">
        <v>365</v>
      </c>
      <c r="S3" s="132" t="s">
        <v>292</v>
      </c>
      <c r="T3" s="132" t="s">
        <v>293</v>
      </c>
      <c r="U3" s="93"/>
      <c r="V3" s="133" t="s">
        <v>318</v>
      </c>
      <c r="W3" s="133" t="s">
        <v>315</v>
      </c>
      <c r="X3" s="133" t="s">
        <v>319</v>
      </c>
      <c r="Y3" s="133" t="s">
        <v>326</v>
      </c>
      <c r="Z3" s="133" t="s">
        <v>316</v>
      </c>
      <c r="AA3" s="93"/>
      <c r="AB3" s="93"/>
      <c r="AC3" s="93"/>
      <c r="AD3" s="93"/>
      <c r="AE3" s="93"/>
      <c r="AF3" s="93"/>
      <c r="AG3" s="93"/>
      <c r="AH3" s="93"/>
      <c r="AI3" s="93"/>
      <c r="AJ3" s="93"/>
      <c r="AK3" s="93"/>
      <c r="AL3" s="93"/>
      <c r="AM3" s="93"/>
      <c r="AN3" s="93"/>
      <c r="AO3" s="93"/>
      <c r="AP3" s="93"/>
      <c r="AQ3" s="93"/>
      <c r="AR3" s="93"/>
      <c r="AS3" s="93"/>
      <c r="AT3" s="93"/>
      <c r="AU3" s="93"/>
      <c r="AV3" s="93"/>
      <c r="AW3" s="93"/>
      <c r="AX3" s="93"/>
      <c r="AY3" s="93"/>
      <c r="AZ3" s="93"/>
      <c r="BA3" s="93"/>
      <c r="BB3" s="93"/>
      <c r="BC3" s="93"/>
      <c r="BD3" s="93"/>
      <c r="BE3" s="93"/>
      <c r="BF3" s="93"/>
      <c r="BG3" s="93"/>
      <c r="BH3" s="93"/>
      <c r="BI3" s="93"/>
      <c r="BJ3" s="93"/>
      <c r="BK3" s="93"/>
      <c r="BL3" s="93"/>
      <c r="BM3" s="93"/>
      <c r="BN3" s="93"/>
      <c r="BO3" s="93"/>
      <c r="BP3" s="93"/>
      <c r="BQ3" s="93"/>
      <c r="BR3" s="93"/>
      <c r="BS3" s="93"/>
      <c r="BT3" s="93"/>
      <c r="BU3" s="93"/>
      <c r="BV3" s="93"/>
      <c r="BW3" s="93"/>
      <c r="BX3" s="93"/>
      <c r="BY3" s="93"/>
      <c r="BZ3" s="93"/>
      <c r="CA3" s="93"/>
      <c r="CB3" s="93"/>
      <c r="CC3" s="93"/>
      <c r="CD3" s="93"/>
      <c r="CE3" s="93"/>
      <c r="CF3" s="93"/>
      <c r="CG3" s="93"/>
      <c r="CH3" s="93"/>
    </row>
    <row r="4" spans="1:86">
      <c r="A4" s="134" t="s">
        <v>197</v>
      </c>
      <c r="B4" s="135" t="s">
        <v>6</v>
      </c>
      <c r="C4" s="135" t="s">
        <v>7</v>
      </c>
      <c r="D4" s="135" t="s">
        <v>43</v>
      </c>
      <c r="E4" s="207">
        <v>114971549</v>
      </c>
      <c r="F4" s="183">
        <f>(SUMIF(C$4:C$71,C4,E$4:E$71)-SUMIF('2020 CNESER'!C$4:C$71,C4,'2020 CNESER'!E$4:E$71))/SUMIF('2020 CNESER'!C$4:C$71,C4,'2020 CNESER'!E$4:E$71)</f>
        <v>1.9881287488526269E-2</v>
      </c>
      <c r="G4" s="207">
        <v>128079487</v>
      </c>
      <c r="H4" s="183">
        <f>(SUMIF(C$4:C$71,C4,G$4:G$71)-SUMIF('2020 CNESER'!C$4:C$71,C4,'2020 CNESER'!G$4:G$71))/SUMIF('2020 CNESER'!C$4:C$71,C4,'2020 CNESER'!G$4:G$71)</f>
        <v>2.066326228522734E-2</v>
      </c>
      <c r="I4" s="136">
        <f>SUMIF('2020 CNESER'!$C$4:$C$77,C4,'2020 CNESER'!$I$4:$I$77)</f>
        <v>1562</v>
      </c>
      <c r="J4" s="136">
        <f>I4+((F4-0.6%)*E4)/60000</f>
        <v>1588.5992187445031</v>
      </c>
      <c r="K4" s="173">
        <v>26069</v>
      </c>
      <c r="L4" s="101">
        <f>(SUMIF('2021 CNESER'!$C$4:$C$76,'2021 CNESER'!$C4,'2021 CNESER'!$K$4:$K$76)-SUMIF('2020 CNESER'!$C$4:$C$76,'2021 CNESER'!$C4,'2020 CNESER'!$L$4:$L$76))/SUMIF('2020 CNESER'!$C$4:$C$76,'2021 CNESER'!$C4,'2020 CNESER'!$L$4:$L$76)</f>
        <v>4.2176381226513154E-2</v>
      </c>
      <c r="M4" s="27">
        <f t="shared" ref="M4:M35" si="0">G4/K4</f>
        <v>4913.0955157466724</v>
      </c>
      <c r="N4" s="212">
        <f>I4/K4*100</f>
        <v>5.9917910161494499</v>
      </c>
      <c r="O4" s="199">
        <f t="shared" ref="O4:O34" si="1">K4*$N$74/100-J4</f>
        <v>590.29509670712059</v>
      </c>
      <c r="P4" s="197">
        <f t="shared" ref="P4:P34" si="2">K4*$M$74-G4</f>
        <v>42010073.81454733</v>
      </c>
      <c r="Q4" s="217">
        <f>IF(O4&gt;0,O4*60000,0)</f>
        <v>35417705.802427232</v>
      </c>
      <c r="R4" s="197">
        <f>IF(P4&gt;0,P4-Q4,0)</f>
        <v>6592368.0121200979</v>
      </c>
      <c r="S4" s="138">
        <f t="shared" ref="S4:S35" si="3">E4/J4</f>
        <v>72372.910450543946</v>
      </c>
      <c r="T4" s="96">
        <f t="shared" ref="T4:T35" si="4">E4/G4</f>
        <v>0.89765778808904817</v>
      </c>
      <c r="U4" s="93"/>
      <c r="V4" s="109">
        <f>E4-'2020 CNESER'!E38</f>
        <v>61984204</v>
      </c>
      <c r="W4" s="139">
        <f>V4/60000</f>
        <v>1033.0700666666667</v>
      </c>
      <c r="X4" s="109">
        <v>172800</v>
      </c>
      <c r="Y4" s="110">
        <f>X4/M4</f>
        <v>35.171308891953949</v>
      </c>
      <c r="Z4" s="111">
        <v>1081451</v>
      </c>
      <c r="AA4" s="139">
        <f>Z4/60000</f>
        <v>18.024183333333333</v>
      </c>
      <c r="AB4" s="93" t="s">
        <v>317</v>
      </c>
      <c r="AC4" s="93">
        <f>1800000/60000</f>
        <v>30</v>
      </c>
      <c r="AD4" s="93">
        <f>8*60000</f>
        <v>480000</v>
      </c>
      <c r="AE4" s="93"/>
      <c r="AF4" s="93"/>
      <c r="AG4" s="93">
        <v>115102304</v>
      </c>
      <c r="AH4" s="93">
        <v>114160819</v>
      </c>
      <c r="AI4" s="93">
        <f>AG4-AH4</f>
        <v>941485</v>
      </c>
      <c r="AJ4" s="93">
        <f>(AI4-800000)/60000</f>
        <v>2.3580833333333335</v>
      </c>
      <c r="AK4" s="93"/>
      <c r="AL4" s="93"/>
      <c r="AM4" s="93"/>
      <c r="AN4" s="93"/>
      <c r="AO4" s="93"/>
      <c r="AP4" s="93"/>
      <c r="AQ4" s="93"/>
      <c r="AR4" s="93"/>
      <c r="AS4" s="93"/>
      <c r="AT4" s="93"/>
      <c r="AU4" s="93"/>
      <c r="AV4" s="93"/>
      <c r="AW4" s="93"/>
      <c r="AX4" s="93"/>
      <c r="AY4" s="93"/>
      <c r="AZ4" s="93"/>
      <c r="BA4" s="93"/>
      <c r="BB4" s="93"/>
      <c r="BC4" s="93"/>
      <c r="BD4" s="93"/>
      <c r="BE4" s="93"/>
      <c r="BF4" s="93"/>
      <c r="BG4" s="93"/>
      <c r="BH4" s="93"/>
      <c r="BI4" s="93"/>
      <c r="BJ4" s="93"/>
      <c r="BK4" s="93"/>
      <c r="BL4" s="93"/>
      <c r="BM4" s="93"/>
      <c r="BN4" s="93"/>
      <c r="BO4" s="93"/>
      <c r="BP4" s="93"/>
      <c r="BQ4" s="93"/>
      <c r="BR4" s="93"/>
      <c r="BS4" s="93"/>
      <c r="BT4" s="93"/>
      <c r="BU4" s="93"/>
      <c r="BV4" s="93"/>
      <c r="BW4" s="93"/>
      <c r="BX4" s="93"/>
      <c r="BY4" s="93"/>
      <c r="BZ4" s="93"/>
      <c r="CA4" s="93"/>
      <c r="CB4" s="93"/>
      <c r="CC4" s="93"/>
      <c r="CD4" s="93"/>
      <c r="CE4" s="93"/>
      <c r="CF4" s="93"/>
      <c r="CG4" s="93"/>
      <c r="CH4" s="93"/>
    </row>
    <row r="5" spans="1:86">
      <c r="A5" s="31" t="s">
        <v>197</v>
      </c>
      <c r="B5" s="135" t="s">
        <v>4</v>
      </c>
      <c r="C5" s="135" t="s">
        <v>5</v>
      </c>
      <c r="D5" s="135" t="s">
        <v>5</v>
      </c>
      <c r="E5" s="207">
        <v>151833439</v>
      </c>
      <c r="F5" s="183">
        <f>(SUMIF(C$4:C$71,C5,E$4:E$71)-SUMIF('2020 CNESER'!C$4:C$71,C5,'2020 CNESER'!E$4:E$71))/SUMIF('2020 CNESER'!C$4:C$71,C5,'2020 CNESER'!E$4:E$71)</f>
        <v>8.5385068989034096E-3</v>
      </c>
      <c r="G5" s="207">
        <v>165289232</v>
      </c>
      <c r="H5" s="183">
        <f>(SUMIF(C$4:C$71,C5,G$4:G$71)-SUMIF('2020 CNESER'!C$4:C$71,C5,'2020 CNESER'!G$4:G$71))/SUMIF('2020 CNESER'!C$4:C$71,C5,'2020 CNESER'!G$4:G$71)</f>
        <v>7.7492306845403638E-3</v>
      </c>
      <c r="I5" s="136">
        <f>SUMIF('2020 CNESER'!$C$4:$C$77,C5,'2020 CNESER'!$I$4:$I$77)</f>
        <v>2082</v>
      </c>
      <c r="J5" s="136">
        <f t="shared" ref="J5:J35" si="5">I5+((F5-0.6%)*E5)/60000</f>
        <v>2088.4238372064287</v>
      </c>
      <c r="K5" s="173">
        <v>31940</v>
      </c>
      <c r="L5" s="101">
        <f>(SUMIF('2021 CNESER'!$C$4:$C$76,'2021 CNESER'!$C5,'2021 CNESER'!$K$4:$K$76)-SUMIF('2020 CNESER'!$C$4:$C$76,'2021 CNESER'!$C5,'2020 CNESER'!$L$4:$L$76))/SUMIF('2020 CNESER'!$C$4:$C$76,'2021 CNESER'!$C5,'2020 CNESER'!$L$4:$L$76)</f>
        <v>-2.5607394915995252E-3</v>
      </c>
      <c r="M5" s="27">
        <f t="shared" si="0"/>
        <v>5174.9916092673766</v>
      </c>
      <c r="N5" s="212">
        <f>J5/K5*100</f>
        <v>6.5385843369017804</v>
      </c>
      <c r="O5" s="199">
        <f t="shared" si="1"/>
        <v>581.17930965478035</v>
      </c>
      <c r="P5" s="197">
        <f t="shared" si="2"/>
        <v>43106202.133132905</v>
      </c>
      <c r="Q5" s="217">
        <f t="shared" ref="Q5:Q68" si="6">IF(O5&gt;0,O5*60000,0)</f>
        <v>34870758.579286821</v>
      </c>
      <c r="R5" s="197">
        <f t="shared" ref="R5:R68" si="7">IF(P5&gt;0,P5-Q5,0)</f>
        <v>8235443.5538460836</v>
      </c>
      <c r="S5" s="138">
        <f t="shared" si="3"/>
        <v>72702.406616417167</v>
      </c>
      <c r="T5" s="96">
        <f t="shared" si="4"/>
        <v>0.91859244043193333</v>
      </c>
      <c r="U5" s="93"/>
      <c r="V5" s="93">
        <f>8*60000</f>
        <v>480000</v>
      </c>
      <c r="W5" s="93"/>
      <c r="X5" s="93"/>
      <c r="Y5" s="93" t="s">
        <v>328</v>
      </c>
      <c r="Z5" s="93"/>
      <c r="AA5" s="93"/>
      <c r="AB5" s="93"/>
      <c r="AC5" s="93"/>
      <c r="AD5" s="93"/>
      <c r="AE5" s="93"/>
      <c r="AF5" s="93"/>
      <c r="AG5" s="93"/>
      <c r="AH5" s="93"/>
      <c r="AI5" s="93"/>
      <c r="AJ5" s="93"/>
      <c r="AK5" s="93"/>
      <c r="AL5" s="93"/>
      <c r="AM5" s="93"/>
      <c r="AN5" s="93"/>
      <c r="AO5" s="93"/>
      <c r="AP5" s="93"/>
      <c r="AQ5" s="93"/>
      <c r="AR5" s="93"/>
      <c r="AS5" s="93"/>
      <c r="AT5" s="93"/>
      <c r="AU5" s="93"/>
      <c r="AV5" s="93"/>
      <c r="AW5" s="93"/>
      <c r="AX5" s="93"/>
      <c r="AY5" s="93"/>
      <c r="AZ5" s="93"/>
      <c r="BA5" s="93"/>
      <c r="BB5" s="93"/>
      <c r="BC5" s="93"/>
      <c r="BD5" s="93"/>
      <c r="BE5" s="93"/>
      <c r="BF5" s="93"/>
      <c r="BG5" s="93"/>
      <c r="BH5" s="93"/>
      <c r="BI5" s="93"/>
      <c r="BJ5" s="93"/>
      <c r="BK5" s="93"/>
      <c r="BL5" s="93"/>
      <c r="BM5" s="93"/>
      <c r="BN5" s="93"/>
      <c r="BO5" s="93"/>
      <c r="BP5" s="93"/>
      <c r="BQ5" s="93"/>
      <c r="BR5" s="93"/>
      <c r="BS5" s="93"/>
      <c r="BT5" s="93"/>
      <c r="BU5" s="93"/>
      <c r="BV5" s="93"/>
      <c r="BW5" s="93"/>
      <c r="BX5" s="93"/>
      <c r="BY5" s="93"/>
      <c r="BZ5" s="93"/>
      <c r="CA5" s="93"/>
      <c r="CB5" s="93"/>
      <c r="CC5" s="93"/>
      <c r="CD5" s="93"/>
      <c r="CE5" s="93"/>
      <c r="CF5" s="93"/>
      <c r="CG5" s="93"/>
      <c r="CH5" s="93"/>
    </row>
    <row r="6" spans="1:86">
      <c r="A6" s="31" t="s">
        <v>197</v>
      </c>
      <c r="B6" s="135" t="s">
        <v>4</v>
      </c>
      <c r="C6" s="135" t="s">
        <v>54</v>
      </c>
      <c r="D6" s="135" t="s">
        <v>54</v>
      </c>
      <c r="E6" s="207">
        <v>166870682</v>
      </c>
      <c r="F6" s="183">
        <f>(SUMIF(C$4:C$71,C6,E$4:E$71)-SUMIF('2020 CNESER'!C$4:C$71,C6,'2020 CNESER'!E$4:E$71))/SUMIF('2020 CNESER'!C$4:C$71,C6,'2020 CNESER'!E$4:E$71)</f>
        <v>9.8989482429902922E-3</v>
      </c>
      <c r="G6" s="207">
        <v>184028679</v>
      </c>
      <c r="H6" s="183">
        <f>(SUMIF(C$4:C$71,C6,G$4:G$71)-SUMIF('2020 CNESER'!C$4:C$71,C6,'2020 CNESER'!G$4:G$71))/SUMIF('2020 CNESER'!C$4:C$71,C6,'2020 CNESER'!G$4:G$71)</f>
        <v>1.0539109544521719E-2</v>
      </c>
      <c r="I6" s="136">
        <f>SUMIF('2020 CNESER'!$C$4:$C$77,C6,'2020 CNESER'!$I$4:$I$77)</f>
        <v>2356</v>
      </c>
      <c r="J6" s="136">
        <f t="shared" si="5"/>
        <v>2366.8436692065084</v>
      </c>
      <c r="K6" s="173">
        <v>34547</v>
      </c>
      <c r="L6" s="101">
        <f>(SUMIF('2021 CNESER'!$C$4:$C$76,'2021 CNESER'!$C6,'2021 CNESER'!$K$4:$K$76)-SUMIF('2020 CNESER'!$C$4:$C$76,'2021 CNESER'!$C6,'2020 CNESER'!$L$4:$L$76))/SUMIF('2020 CNESER'!$C$4:$C$76,'2021 CNESER'!$C6,'2020 CNESER'!$L$4:$L$76)</f>
        <v>4.7132638215324929E-2</v>
      </c>
      <c r="M6" s="27">
        <f t="shared" si="0"/>
        <v>5326.9076620256465</v>
      </c>
      <c r="N6" s="212">
        <f>I6/K6*100</f>
        <v>6.8196949083856779</v>
      </c>
      <c r="O6" s="199">
        <f t="shared" si="1"/>
        <v>520.65726738128751</v>
      </c>
      <c r="P6" s="197">
        <f t="shared" si="2"/>
        <v>41376363.673680097</v>
      </c>
      <c r="Q6" s="217">
        <f t="shared" si="6"/>
        <v>31239436.042877249</v>
      </c>
      <c r="R6" s="197">
        <f t="shared" si="7"/>
        <v>10136927.630802847</v>
      </c>
      <c r="S6" s="138">
        <f t="shared" si="3"/>
        <v>70503.465932730527</v>
      </c>
      <c r="T6" s="96">
        <f t="shared" si="4"/>
        <v>0.90676454836694231</v>
      </c>
      <c r="U6" s="93"/>
      <c r="V6" s="93"/>
      <c r="W6" s="93"/>
      <c r="X6" s="93"/>
      <c r="Y6" s="93"/>
      <c r="Z6" s="93"/>
      <c r="AA6" s="93"/>
      <c r="AB6" s="93"/>
      <c r="AC6" s="93"/>
      <c r="AD6" s="93"/>
      <c r="AE6" s="93"/>
      <c r="AF6" s="93"/>
      <c r="AG6" s="93"/>
      <c r="AH6" s="93"/>
      <c r="AI6" s="93"/>
      <c r="AJ6" s="93"/>
      <c r="AK6" s="93"/>
      <c r="AL6" s="93"/>
      <c r="AM6" s="93"/>
      <c r="AN6" s="93"/>
      <c r="AO6" s="93"/>
      <c r="AP6" s="93"/>
      <c r="AQ6" s="93"/>
      <c r="AR6" s="93"/>
      <c r="AS6" s="93"/>
      <c r="AT6" s="93"/>
      <c r="AU6" s="93"/>
      <c r="AV6" s="93"/>
      <c r="AW6" s="93"/>
      <c r="AX6" s="93"/>
      <c r="AY6" s="93"/>
      <c r="AZ6" s="93"/>
      <c r="BA6" s="93"/>
      <c r="BB6" s="93"/>
      <c r="BC6" s="93"/>
      <c r="BD6" s="93"/>
      <c r="BE6" s="93"/>
      <c r="BF6" s="93"/>
      <c r="BG6" s="93"/>
      <c r="BH6" s="93"/>
      <c r="BI6" s="93"/>
      <c r="BJ6" s="93"/>
      <c r="BK6" s="93"/>
      <c r="BL6" s="93"/>
      <c r="BM6" s="93"/>
      <c r="BN6" s="93"/>
      <c r="BO6" s="93"/>
      <c r="BP6" s="93"/>
      <c r="BQ6" s="93"/>
      <c r="BR6" s="93"/>
      <c r="BS6" s="93"/>
      <c r="BT6" s="93"/>
      <c r="BU6" s="93"/>
      <c r="BV6" s="93"/>
      <c r="BW6" s="93"/>
      <c r="BX6" s="93"/>
      <c r="BY6" s="93"/>
      <c r="BZ6" s="93"/>
      <c r="CA6" s="93"/>
      <c r="CB6" s="93"/>
      <c r="CC6" s="93"/>
      <c r="CD6" s="93"/>
      <c r="CE6" s="93"/>
      <c r="CF6" s="93"/>
      <c r="CG6" s="93"/>
      <c r="CH6" s="93"/>
    </row>
    <row r="7" spans="1:86">
      <c r="A7" s="134" t="s">
        <v>197</v>
      </c>
      <c r="B7" s="135" t="s">
        <v>6</v>
      </c>
      <c r="C7" s="135" t="s">
        <v>169</v>
      </c>
      <c r="D7" s="135" t="s">
        <v>252</v>
      </c>
      <c r="E7" s="207">
        <v>184379115</v>
      </c>
      <c r="F7" s="183">
        <f>(SUMIF(C$4:C$71,C7,E$4:E$71)-SUMIF('2020 CNESER'!C$4:C$71,C7,'2020 CNESER'!E$4:E$71))/SUMIF('2020 CNESER'!C$4:C$71,C7,'2020 CNESER'!E$4:E$71)</f>
        <v>1.4773970203940166E-2</v>
      </c>
      <c r="G7" s="207">
        <v>204209564</v>
      </c>
      <c r="H7" s="183">
        <f>(SUMIF(C$4:C$71,C7,G$4:G$71)-SUMIF('2020 CNESER'!C$4:C$71,C7,'2020 CNESER'!G$4:G$71))/SUMIF('2020 CNESER'!C$4:C$71,C7,'2020 CNESER'!G$4:G$71)</f>
        <v>1.5323547677022667E-2</v>
      </c>
      <c r="I7" s="136">
        <f>SUMIF('2020 CNESER'!$C$4:$C$77,C7,'2020 CNESER'!$I$4:$I$77)</f>
        <v>2529</v>
      </c>
      <c r="J7" s="136">
        <f t="shared" si="5"/>
        <v>2555.9622810206474</v>
      </c>
      <c r="K7" s="173">
        <v>37624</v>
      </c>
      <c r="L7" s="101">
        <f>(SUMIF('2021 CNESER'!$C$4:$C$76,'2021 CNESER'!$C8,'2021 CNESER'!$K$4:$K$76)-SUMIF('2020 CNESER'!$C$4:$C$76,'2021 CNESER'!$C8,'2020 CNESER'!$L$4:$L$76))/SUMIF('2020 CNESER'!$C$4:$C$76,'2021 CNESER'!$C8,'2020 CNESER'!$L$4:$L$76)</f>
        <v>0.13476513438834464</v>
      </c>
      <c r="M7" s="27">
        <f t="shared" si="0"/>
        <v>5427.6409738464808</v>
      </c>
      <c r="N7" s="212">
        <f>J7/K7*100</f>
        <v>6.7934357883814789</v>
      </c>
      <c r="O7" s="199">
        <f t="shared" si="1"/>
        <v>588.71989798705863</v>
      </c>
      <c r="P7" s="197">
        <f t="shared" si="2"/>
        <v>41271644.948810011</v>
      </c>
      <c r="Q7" s="217">
        <f t="shared" si="6"/>
        <v>35323193.879223518</v>
      </c>
      <c r="R7" s="197">
        <f t="shared" si="7"/>
        <v>5948451.0695864931</v>
      </c>
      <c r="S7" s="138">
        <f t="shared" si="3"/>
        <v>72136.868516844348</v>
      </c>
      <c r="T7" s="96">
        <f t="shared" si="4"/>
        <v>0.9028916735750927</v>
      </c>
      <c r="U7" s="93"/>
      <c r="V7" s="93">
        <f>2639+39415+542517+82915</f>
        <v>667486</v>
      </c>
      <c r="W7" s="93"/>
      <c r="X7" s="93"/>
      <c r="Y7" s="93">
        <v>1080</v>
      </c>
      <c r="Z7" s="93"/>
      <c r="AA7" s="93"/>
      <c r="AB7" s="93"/>
      <c r="AC7" s="93"/>
      <c r="AD7" s="93"/>
      <c r="AE7" s="93"/>
      <c r="AF7" s="93"/>
      <c r="AG7" s="96" t="e">
        <f>V8/AH6</f>
        <v>#DIV/0!</v>
      </c>
      <c r="AH7" s="93"/>
      <c r="AI7" s="93"/>
      <c r="AJ7" s="93"/>
      <c r="AK7" s="93"/>
      <c r="AL7" s="93"/>
      <c r="AM7" s="93"/>
      <c r="AN7" s="93"/>
      <c r="AO7" s="93"/>
      <c r="AP7" s="93"/>
      <c r="AQ7" s="93"/>
      <c r="AR7" s="93"/>
      <c r="AS7" s="93"/>
      <c r="AT7" s="93"/>
      <c r="AU7" s="93"/>
      <c r="AV7" s="93"/>
      <c r="AW7" s="93"/>
      <c r="AX7" s="93"/>
      <c r="AY7" s="93"/>
      <c r="AZ7" s="93"/>
      <c r="BA7" s="93"/>
      <c r="BB7" s="93"/>
      <c r="BC7" s="93"/>
      <c r="BD7" s="93"/>
      <c r="BE7" s="93"/>
      <c r="BF7" s="93"/>
      <c r="BG7" s="93"/>
      <c r="BH7" s="93"/>
      <c r="BI7" s="93"/>
      <c r="BJ7" s="93"/>
      <c r="BK7" s="93"/>
      <c r="BL7" s="93"/>
      <c r="BM7" s="93"/>
      <c r="BN7" s="93"/>
      <c r="BO7" s="93"/>
      <c r="BP7" s="93"/>
      <c r="BQ7" s="93"/>
      <c r="BR7" s="93"/>
      <c r="BS7" s="93"/>
      <c r="BT7" s="93"/>
      <c r="BU7" s="93"/>
      <c r="BV7" s="93"/>
      <c r="BW7" s="93"/>
      <c r="BX7" s="93"/>
      <c r="BY7" s="93"/>
      <c r="BZ7" s="93"/>
      <c r="CA7" s="93"/>
      <c r="CB7" s="93"/>
      <c r="CC7" s="93"/>
      <c r="CD7" s="93"/>
      <c r="CE7" s="93"/>
      <c r="CF7" s="93"/>
      <c r="CG7" s="93"/>
      <c r="CH7" s="93"/>
    </row>
    <row r="8" spans="1:86">
      <c r="A8" s="134" t="s">
        <v>197</v>
      </c>
      <c r="B8" s="135" t="s">
        <v>8</v>
      </c>
      <c r="C8" s="135" t="s">
        <v>29</v>
      </c>
      <c r="D8" s="135" t="s">
        <v>29</v>
      </c>
      <c r="E8" s="207">
        <v>96328291</v>
      </c>
      <c r="F8" s="183">
        <f>(SUMIF(C$4:C$71,C8,E$4:E$71)-SUMIF('2020 CNESER'!C$4:C$71,C8,'2020 CNESER'!E$4:E$71))/SUMIF('2020 CNESER'!C$4:C$71,C8,'2020 CNESER'!E$4:E$71)</f>
        <v>2.8865964626484216E-2</v>
      </c>
      <c r="G8" s="207">
        <v>105558884</v>
      </c>
      <c r="H8" s="183">
        <f>(SUMIF(C$4:C$71,C8,G$4:G$71)-SUMIF('2020 CNESER'!C$4:C$71,C8,'2020 CNESER'!G$4:G$71))/SUMIF('2020 CNESER'!C$4:C$71,C8,'2020 CNESER'!G$4:G$71)</f>
        <v>2.9373908491066122E-2</v>
      </c>
      <c r="I8" s="136">
        <f>SUMIF('2020 CNESER'!$C$4:$C$77,C8,'2020 CNESER'!$I$4:$I$77)</f>
        <v>1011</v>
      </c>
      <c r="J8" s="136">
        <f t="shared" si="5"/>
        <v>1047.7106549089281</v>
      </c>
      <c r="K8" s="173">
        <v>18070</v>
      </c>
      <c r="L8" s="101">
        <f>(SUMIF('2021 CNESER'!$C$4:$C$76,'2021 CNESER'!$C12,'2021 CNESER'!$K$4:$K$76)-SUMIF('2020 CNESER'!$C$4:$C$76,'2021 CNESER'!$C12,'2020 CNESER'!$L$4:$L$76))/SUMIF('2020 CNESER'!$C$4:$C$76,'2021 CNESER'!$C12,'2020 CNESER'!$L$4:$L$76)</f>
        <v>2.3921822497610899E-2</v>
      </c>
      <c r="M8" s="27">
        <f t="shared" si="0"/>
        <v>5841.6648588821254</v>
      </c>
      <c r="N8" s="212">
        <f>J8/K8*100</f>
        <v>5.7980667122796241</v>
      </c>
      <c r="O8" s="199">
        <f t="shared" si="1"/>
        <v>462.61272842801782</v>
      </c>
      <c r="P8" s="197">
        <f t="shared" si="2"/>
        <v>12340474.00831908</v>
      </c>
      <c r="Q8" s="217">
        <f t="shared" si="6"/>
        <v>27756763.705681071</v>
      </c>
      <c r="R8" s="198">
        <f t="shared" si="7"/>
        <v>-15416289.697361991</v>
      </c>
      <c r="S8" s="138">
        <f t="shared" si="3"/>
        <v>91941.692631133265</v>
      </c>
      <c r="T8" s="96">
        <f t="shared" si="4"/>
        <v>0.91255503421199491</v>
      </c>
      <c r="U8" s="93"/>
      <c r="V8" s="93"/>
      <c r="W8" s="93"/>
      <c r="X8" s="93"/>
      <c r="Y8" s="93"/>
      <c r="Z8" s="93"/>
      <c r="AA8" s="93"/>
      <c r="AB8" s="93"/>
      <c r="AC8" s="93"/>
      <c r="AD8" s="93"/>
      <c r="AE8" s="93"/>
      <c r="AF8" s="93"/>
      <c r="AG8" s="93"/>
      <c r="AH8" s="93"/>
      <c r="AI8" s="93"/>
      <c r="AJ8" s="93"/>
      <c r="AK8" s="93"/>
      <c r="AL8" s="93"/>
      <c r="AM8" s="93"/>
      <c r="AN8" s="93"/>
      <c r="AO8" s="93"/>
      <c r="AP8" s="93"/>
      <c r="AQ8" s="93"/>
      <c r="AR8" s="93"/>
      <c r="AS8" s="93"/>
      <c r="AT8" s="93"/>
      <c r="AU8" s="93"/>
      <c r="AV8" s="93"/>
      <c r="AW8" s="93"/>
      <c r="AX8" s="93"/>
      <c r="AY8" s="93"/>
      <c r="AZ8" s="93"/>
      <c r="BA8" s="93"/>
      <c r="BB8" s="93"/>
      <c r="BC8" s="93"/>
      <c r="BD8" s="93"/>
      <c r="BE8" s="93"/>
      <c r="BF8" s="93"/>
      <c r="BG8" s="93"/>
      <c r="BH8" s="93"/>
      <c r="BI8" s="93"/>
      <c r="BJ8" s="93"/>
      <c r="BK8" s="93"/>
      <c r="BL8" s="93"/>
      <c r="BM8" s="93"/>
      <c r="BN8" s="93"/>
      <c r="BO8" s="93"/>
      <c r="BP8" s="93"/>
      <c r="BQ8" s="93"/>
      <c r="BR8" s="93"/>
      <c r="BS8" s="93"/>
      <c r="BT8" s="93"/>
      <c r="BU8" s="93"/>
      <c r="BV8" s="93"/>
      <c r="BW8" s="93"/>
      <c r="BX8" s="93"/>
      <c r="BY8" s="93"/>
      <c r="BZ8" s="93"/>
      <c r="CA8" s="93"/>
      <c r="CB8" s="93"/>
      <c r="CC8" s="93"/>
      <c r="CD8" s="93"/>
      <c r="CE8" s="93"/>
      <c r="CF8" s="93"/>
      <c r="CG8" s="93"/>
      <c r="CH8" s="93"/>
    </row>
    <row r="9" spans="1:86">
      <c r="A9" s="134" t="s">
        <v>197</v>
      </c>
      <c r="B9" s="135" t="s">
        <v>6</v>
      </c>
      <c r="C9" s="135" t="s">
        <v>170</v>
      </c>
      <c r="D9" s="135" t="s">
        <v>247</v>
      </c>
      <c r="E9" s="207">
        <v>259927602</v>
      </c>
      <c r="F9" s="183">
        <f>(SUMIF(C$4:C$71,C9,E$4:E$71)-SUMIF('2020 CNESER'!C$4:C$71,C9,'2020 CNESER'!E$4:E$71))/SUMIF('2020 CNESER'!C$4:C$71,C9,'2020 CNESER'!E$4:E$71)</f>
        <v>2.0312079654178649E-2</v>
      </c>
      <c r="G9" s="207">
        <v>291005738</v>
      </c>
      <c r="H9" s="183">
        <f>(SUMIF(C$4:C$71,C9,G$4:G$71)-SUMIF('2020 CNESER'!C$4:C$71,C9,'2020 CNESER'!G$4:G$71))/SUMIF('2020 CNESER'!C$4:C$71,C9,'2020 CNESER'!G$4:G$71)</f>
        <v>1.928911268222459E-2</v>
      </c>
      <c r="I9" s="136">
        <f>SUMIF('2020 CNESER'!$C$4:$C$77,C9,'2020 CNESER'!$I$4:$I$77)</f>
        <v>3959</v>
      </c>
      <c r="J9" s="136">
        <f t="shared" si="5"/>
        <v>4021.001742402394</v>
      </c>
      <c r="K9" s="173">
        <v>49465</v>
      </c>
      <c r="L9" s="101">
        <f>(SUMIF('2021 CNESER'!$C$4:$C$76,'2021 CNESER'!$C57,'2021 CNESER'!$K$4:$K$76)-SUMIF('2020 CNESER'!$C$4:$C$76,'2021 CNESER'!$C57,'2020 CNESER'!$L$4:$L$76))/SUMIF('2020 CNESER'!$C$4:$C$76,'2021 CNESER'!$C57,'2020 CNESER'!$L$4:$L$76)</f>
        <v>-8.535693133121974E-3</v>
      </c>
      <c r="M9" s="27">
        <f t="shared" si="0"/>
        <v>5883.0635398766808</v>
      </c>
      <c r="N9" s="212">
        <f>I9/K9*100</f>
        <v>8.0036389366218543</v>
      </c>
      <c r="O9" s="199">
        <f t="shared" si="1"/>
        <v>113.37269903435345</v>
      </c>
      <c r="P9" s="197">
        <f t="shared" si="2"/>
        <v>31733152.087520957</v>
      </c>
      <c r="Q9" s="217">
        <f t="shared" si="6"/>
        <v>6802361.9420612063</v>
      </c>
      <c r="R9" s="197">
        <f t="shared" si="7"/>
        <v>24930790.145459749</v>
      </c>
      <c r="S9" s="138">
        <f t="shared" si="3"/>
        <v>64642.499220779559</v>
      </c>
      <c r="T9" s="96">
        <f t="shared" si="4"/>
        <v>0.89320438760558052</v>
      </c>
      <c r="U9" s="93"/>
      <c r="V9" s="93"/>
      <c r="W9" s="93"/>
      <c r="X9" s="93"/>
      <c r="Y9" s="93" t="s">
        <v>327</v>
      </c>
      <c r="Z9" s="93"/>
      <c r="AA9" s="93"/>
      <c r="AB9" s="93"/>
      <c r="AC9" s="93"/>
      <c r="AD9" s="93"/>
      <c r="AE9" s="93"/>
      <c r="AF9" s="93"/>
      <c r="AG9" s="93"/>
      <c r="AH9" s="93"/>
      <c r="AI9" s="93"/>
      <c r="AJ9" s="93"/>
      <c r="AK9" s="93"/>
      <c r="AL9" s="93"/>
      <c r="AM9" s="93"/>
      <c r="AN9" s="93"/>
      <c r="AO9" s="93"/>
      <c r="AP9" s="93"/>
      <c r="AQ9" s="93"/>
      <c r="AR9" s="93"/>
      <c r="AS9" s="93"/>
      <c r="AT9" s="93"/>
      <c r="AU9" s="93"/>
      <c r="AV9" s="93"/>
      <c r="AW9" s="93"/>
      <c r="AX9" s="93"/>
      <c r="AY9" s="93"/>
      <c r="AZ9" s="93"/>
      <c r="BA9" s="93"/>
      <c r="BB9" s="93"/>
      <c r="BC9" s="93"/>
      <c r="BD9" s="93"/>
      <c r="BE9" s="93"/>
      <c r="BF9" s="93"/>
      <c r="BG9" s="93"/>
      <c r="BH9" s="93"/>
      <c r="BI9" s="93"/>
      <c r="BJ9" s="93"/>
      <c r="BK9" s="93"/>
      <c r="BL9" s="93"/>
      <c r="BM9" s="93"/>
      <c r="BN9" s="93"/>
      <c r="BO9" s="93"/>
      <c r="BP9" s="93"/>
      <c r="BQ9" s="93"/>
      <c r="BR9" s="93"/>
      <c r="BS9" s="93"/>
      <c r="BT9" s="93"/>
      <c r="BU9" s="93"/>
      <c r="BV9" s="93"/>
      <c r="BW9" s="93"/>
      <c r="BX9" s="93"/>
      <c r="BY9" s="93"/>
      <c r="BZ9" s="93"/>
      <c r="CA9" s="93"/>
      <c r="CB9" s="93"/>
      <c r="CC9" s="93"/>
      <c r="CD9" s="93"/>
      <c r="CE9" s="93"/>
      <c r="CF9" s="93"/>
      <c r="CG9" s="93"/>
      <c r="CH9" s="93"/>
    </row>
    <row r="10" spans="1:86">
      <c r="A10" s="31" t="s">
        <v>197</v>
      </c>
      <c r="B10" s="135" t="s">
        <v>18</v>
      </c>
      <c r="C10" s="135" t="s">
        <v>55</v>
      </c>
      <c r="D10" s="135" t="s">
        <v>243</v>
      </c>
      <c r="E10" s="207">
        <v>101136024</v>
      </c>
      <c r="F10" s="183">
        <f>(SUMIF(C$4:C$71,C10,E$4:E$71)-SUMIF('2020 CNESER'!C$4:C$71,C10,'2020 CNESER'!E$4:E$71))/SUMIF('2020 CNESER'!C$4:C$71,C10,'2020 CNESER'!E$4:E$71)</f>
        <v>8.746255652801781E-3</v>
      </c>
      <c r="G10" s="207">
        <v>108868856</v>
      </c>
      <c r="H10" s="183">
        <f>(SUMIF(C$4:C$71,C10,G$4:G$71)-SUMIF('2020 CNESER'!C$4:C$71,C10,'2020 CNESER'!G$4:G$71))/SUMIF('2020 CNESER'!C$4:C$71,C10,'2020 CNESER'!G$4:G$71)</f>
        <v>8.5449584645009846E-3</v>
      </c>
      <c r="I10" s="136">
        <f>SUMIF('2020 CNESER'!$C$4:$C$77,C10,'2020 CNESER'!$I$4:$I$77)</f>
        <v>1376</v>
      </c>
      <c r="J10" s="136">
        <f t="shared" si="5"/>
        <v>1380.6290896268649</v>
      </c>
      <c r="K10" s="173">
        <v>18358</v>
      </c>
      <c r="L10" s="101">
        <f>(SUMIF('2021 CNESER'!$C$4:$C$76,'2021 CNESER'!$C7,'2021 CNESER'!$K$4:$K$76)-SUMIF('2020 CNESER'!$C$4:$C$76,'2021 CNESER'!$C7,'2020 CNESER'!$L$4:$L$76))/SUMIF('2020 CNESER'!$C$4:$C$76,'2021 CNESER'!$C7,'2020 CNESER'!$L$4:$L$76)</f>
        <v>4.9015780962471424E-2</v>
      </c>
      <c r="M10" s="27">
        <f t="shared" si="0"/>
        <v>5930.3222573265066</v>
      </c>
      <c r="N10" s="212">
        <f>I10/K10*100</f>
        <v>7.4953698659984749</v>
      </c>
      <c r="O10" s="199">
        <f t="shared" si="1"/>
        <v>153.76585621152185</v>
      </c>
      <c r="P10" s="197">
        <f t="shared" si="2"/>
        <v>10909584.194616586</v>
      </c>
      <c r="Q10" s="217">
        <f t="shared" si="6"/>
        <v>9225951.3726913109</v>
      </c>
      <c r="R10" s="197">
        <f t="shared" si="7"/>
        <v>1683632.821925275</v>
      </c>
      <c r="S10" s="138">
        <f t="shared" si="3"/>
        <v>73253.580385832291</v>
      </c>
      <c r="T10" s="96">
        <f t="shared" si="4"/>
        <v>0.92897112834546547</v>
      </c>
      <c r="U10" s="93"/>
      <c r="V10" s="93"/>
      <c r="W10" s="93"/>
      <c r="X10" s="93"/>
      <c r="Y10" s="93"/>
      <c r="Z10" s="93"/>
      <c r="AA10" s="93"/>
      <c r="AB10" s="93"/>
      <c r="AC10" s="93"/>
      <c r="AD10" s="93"/>
      <c r="AE10" s="93"/>
      <c r="AF10" s="93"/>
      <c r="AG10" s="93"/>
      <c r="AH10" s="93"/>
      <c r="AI10" s="93"/>
      <c r="AJ10" s="93"/>
      <c r="AK10" s="93"/>
      <c r="AL10" s="93"/>
      <c r="AM10" s="93"/>
      <c r="AN10" s="93"/>
      <c r="AO10" s="93"/>
      <c r="AP10" s="93"/>
      <c r="AQ10" s="93"/>
      <c r="AR10" s="93"/>
      <c r="AS10" s="93"/>
      <c r="AT10" s="93"/>
      <c r="AU10" s="93"/>
      <c r="AV10" s="93"/>
      <c r="AW10" s="93"/>
      <c r="AX10" s="93"/>
      <c r="AY10" s="93"/>
      <c r="AZ10" s="93"/>
      <c r="BA10" s="93"/>
      <c r="BB10" s="93"/>
      <c r="BC10" s="93"/>
      <c r="BD10" s="93"/>
      <c r="BE10" s="93"/>
      <c r="BF10" s="93"/>
      <c r="BG10" s="93"/>
      <c r="BH10" s="93"/>
      <c r="BI10" s="93"/>
      <c r="BJ10" s="93"/>
      <c r="BK10" s="93"/>
      <c r="BL10" s="93"/>
      <c r="BM10" s="93"/>
      <c r="BN10" s="93"/>
      <c r="BO10" s="93"/>
      <c r="BP10" s="93"/>
      <c r="BQ10" s="93"/>
      <c r="BR10" s="93"/>
      <c r="BS10" s="93"/>
      <c r="BT10" s="93"/>
      <c r="BU10" s="93"/>
      <c r="BV10" s="93"/>
      <c r="BW10" s="93"/>
      <c r="BX10" s="93"/>
      <c r="BY10" s="93"/>
      <c r="BZ10" s="93"/>
      <c r="CA10" s="93"/>
      <c r="CB10" s="93"/>
      <c r="CC10" s="93"/>
      <c r="CD10" s="93"/>
      <c r="CE10" s="93"/>
      <c r="CF10" s="93"/>
      <c r="CG10" s="93"/>
      <c r="CH10" s="93"/>
    </row>
    <row r="11" spans="1:86">
      <c r="A11" s="134" t="s">
        <v>197</v>
      </c>
      <c r="B11" s="135" t="s">
        <v>27</v>
      </c>
      <c r="C11" s="135" t="s">
        <v>28</v>
      </c>
      <c r="D11" s="135" t="s">
        <v>28</v>
      </c>
      <c r="E11" s="207">
        <v>21336143</v>
      </c>
      <c r="F11" s="183">
        <f>(SUMIF(C$4:C$71,C11,E$4:E$71)-SUMIF('2020 CNESER'!C$4:C$71,C11,'2020 CNESER'!E$4:E$71))/SUMIF('2020 CNESER'!C$4:C$71,C11,'2020 CNESER'!E$4:E$71)</f>
        <v>3.3404418965769435E-2</v>
      </c>
      <c r="G11" s="207">
        <v>23871041</v>
      </c>
      <c r="H11" s="183">
        <f>(SUMIF(C$4:C$71,C11,G$4:G$71)-SUMIF('2020 CNESER'!C$4:C$71,C11,'2020 CNESER'!G$4:G$71))/SUMIF('2020 CNESER'!C$4:C$71,C11,'2020 CNESER'!G$4:G$71)</f>
        <v>8.0969312316136813E-2</v>
      </c>
      <c r="I11" s="136">
        <f>SUMIF('2020 CNESER'!$C$4:$C$77,C11,'2020 CNESER'!$I$4:$I$77)</f>
        <v>245</v>
      </c>
      <c r="J11" s="136">
        <f t="shared" si="5"/>
        <v>254.74507669809282</v>
      </c>
      <c r="K11" s="173">
        <v>3960</v>
      </c>
      <c r="L11" s="101">
        <f>(SUMIF('2021 CNESER'!$C$4:$C$76,'2021 CNESER'!$C10,'2021 CNESER'!$K$4:$K$76)-SUMIF('2020 CNESER'!$C$4:$C$76,'2021 CNESER'!$C10,'2020 CNESER'!$L$4:$L$76))/SUMIF('2020 CNESER'!$C$4:$C$76,'2021 CNESER'!$C10,'2020 CNESER'!$L$4:$L$76)</f>
        <v>5.8075827306596538E-3</v>
      </c>
      <c r="M11" s="27">
        <f t="shared" si="0"/>
        <v>6028.0406565656567</v>
      </c>
      <c r="N11" s="212">
        <f>J11/K11*100</f>
        <v>6.4329564822750704</v>
      </c>
      <c r="O11" s="199">
        <f t="shared" si="1"/>
        <v>76.238907696722094</v>
      </c>
      <c r="P11" s="197">
        <f t="shared" si="2"/>
        <v>1966339.061590679</v>
      </c>
      <c r="Q11" s="217">
        <f t="shared" si="6"/>
        <v>4574334.4618033255</v>
      </c>
      <c r="R11" s="198">
        <f t="shared" si="7"/>
        <v>-2607995.4002126465</v>
      </c>
      <c r="S11" s="138">
        <f t="shared" si="3"/>
        <v>83754.878706787335</v>
      </c>
      <c r="T11" s="96">
        <f t="shared" si="4"/>
        <v>0.89380865291966116</v>
      </c>
      <c r="U11" s="93"/>
      <c r="V11" s="93"/>
      <c r="W11" s="93"/>
      <c r="X11" s="93"/>
      <c r="Y11" s="93"/>
      <c r="Z11" s="93"/>
      <c r="AA11" s="93"/>
      <c r="AB11" s="93"/>
      <c r="AC11" s="93"/>
      <c r="AD11" s="93"/>
      <c r="AE11" s="93"/>
      <c r="AF11" s="93"/>
      <c r="AG11" s="93"/>
      <c r="AH11" s="93"/>
      <c r="AI11" s="93"/>
      <c r="AJ11" s="93"/>
      <c r="AK11" s="93"/>
      <c r="AL11" s="93"/>
      <c r="AM11" s="93"/>
      <c r="AN11" s="93"/>
      <c r="AO11" s="93"/>
      <c r="AP11" s="93"/>
      <c r="AQ11" s="93"/>
      <c r="AR11" s="93"/>
      <c r="AS11" s="93"/>
      <c r="AT11" s="93"/>
      <c r="AU11" s="93"/>
      <c r="AV11" s="93"/>
      <c r="AW11" s="93"/>
      <c r="AX11" s="93"/>
      <c r="AY11" s="93"/>
      <c r="AZ11" s="93"/>
      <c r="BA11" s="93"/>
      <c r="BB11" s="93"/>
      <c r="BC11" s="93"/>
      <c r="BD11" s="93"/>
      <c r="BE11" s="93"/>
      <c r="BF11" s="93"/>
      <c r="BG11" s="93"/>
      <c r="BH11" s="93"/>
      <c r="BI11" s="93"/>
      <c r="BJ11" s="93"/>
      <c r="BK11" s="93"/>
      <c r="BL11" s="93"/>
      <c r="BM11" s="93"/>
      <c r="BN11" s="93"/>
      <c r="BO11" s="93"/>
      <c r="BP11" s="93"/>
      <c r="BQ11" s="93"/>
      <c r="BR11" s="93"/>
      <c r="BS11" s="93"/>
      <c r="BT11" s="93"/>
      <c r="BU11" s="93"/>
      <c r="BV11" s="93"/>
      <c r="BW11" s="93"/>
      <c r="BX11" s="93"/>
      <c r="BY11" s="93"/>
      <c r="BZ11" s="93"/>
      <c r="CA11" s="93"/>
      <c r="CB11" s="93"/>
      <c r="CC11" s="93"/>
      <c r="CD11" s="93"/>
      <c r="CE11" s="93"/>
      <c r="CF11" s="93"/>
      <c r="CG11" s="93"/>
      <c r="CH11" s="93"/>
    </row>
    <row r="12" spans="1:86">
      <c r="A12" s="134" t="s">
        <v>197</v>
      </c>
      <c r="B12" s="135" t="s">
        <v>6</v>
      </c>
      <c r="C12" s="135" t="s">
        <v>371</v>
      </c>
      <c r="D12" s="135" t="s">
        <v>253</v>
      </c>
      <c r="E12" s="207">
        <v>183003112</v>
      </c>
      <c r="F12" s="183">
        <f>(SUMIF(C$4:C$71,C12,E$4:E$71)-SUMIF('2020 CNESER'!C$4:C$71,C12,'2020 CNESER'!E$4:E$71))/SUMIF('2020 CNESER'!C$4:C$71,C12,'2020 CNESER'!E$4:E$71)</f>
        <v>1.4203585460167987E-2</v>
      </c>
      <c r="G12" s="207">
        <v>201069614</v>
      </c>
      <c r="H12" s="183">
        <f>(SUMIF(C$4:C$71,C12,G$4:G$71)-SUMIF('2020 CNESER'!C$4:C$71,C12,'2020 CNESER'!G$4:G$71))/SUMIF('2020 CNESER'!C$4:C$71,C12,'2020 CNESER'!G$4:G$71)</f>
        <v>1.7468783897084162E-2</v>
      </c>
      <c r="I12" s="136">
        <f>SUMIF('2020 CNESER'!$C$4:$C$77,C12,'2020 CNESER'!$I$4:$I$77)</f>
        <v>2368</v>
      </c>
      <c r="J12" s="136">
        <f t="shared" si="5"/>
        <v>2393.021361146145</v>
      </c>
      <c r="K12" s="173">
        <v>33215</v>
      </c>
      <c r="L12" s="101">
        <f>(SUMIF('2021 CNESER'!$C$4:$C$76,'2021 CNESER'!$C17,'2021 CNESER'!$K$4:$K$76)-SUMIF('2020 CNESER'!$C$4:$C$76,'2021 CNESER'!$C17,'2020 CNESER'!$L$4:$L$76))/SUMIF('2020 CNESER'!$C$4:$C$76,'2021 CNESER'!$C17,'2020 CNESER'!$L$4:$L$76)</f>
        <v>3.4149714022333492E-3</v>
      </c>
      <c r="M12" s="27">
        <f t="shared" si="0"/>
        <v>6053.5786241156102</v>
      </c>
      <c r="N12" s="212">
        <f>I12/K12*100</f>
        <v>7.1293090471172658</v>
      </c>
      <c r="O12" s="199">
        <f t="shared" si="1"/>
        <v>383.14859887248531</v>
      </c>
      <c r="P12" s="197">
        <f t="shared" si="2"/>
        <v>15644673.562054127</v>
      </c>
      <c r="Q12" s="217">
        <f t="shared" si="6"/>
        <v>22988915.932349119</v>
      </c>
      <c r="R12" s="198">
        <f t="shared" si="7"/>
        <v>-7344242.3702949919</v>
      </c>
      <c r="S12" s="138">
        <f t="shared" si="3"/>
        <v>76473.664201789696</v>
      </c>
      <c r="T12" s="96">
        <f t="shared" si="4"/>
        <v>0.91014802465378986</v>
      </c>
      <c r="U12" s="93"/>
      <c r="V12" s="93">
        <v>800000</v>
      </c>
      <c r="W12" s="93"/>
      <c r="X12" s="93"/>
      <c r="Y12" s="93">
        <f>1080/23500</f>
        <v>4.5957446808510639E-2</v>
      </c>
      <c r="Z12" s="93"/>
      <c r="AA12" s="93"/>
      <c r="AB12" s="93"/>
      <c r="AC12" s="93"/>
      <c r="AD12" s="93"/>
      <c r="AE12" s="93"/>
      <c r="AF12" s="93"/>
      <c r="AG12" s="93">
        <f>8*6</f>
        <v>48</v>
      </c>
      <c r="AH12" s="93"/>
      <c r="AI12" s="93"/>
      <c r="AJ12" s="93"/>
      <c r="AK12" s="93"/>
      <c r="AL12" s="93"/>
      <c r="AM12" s="93"/>
      <c r="AN12" s="93"/>
      <c r="AO12" s="93"/>
      <c r="AP12" s="93"/>
      <c r="AQ12" s="93"/>
      <c r="AR12" s="93"/>
      <c r="AS12" s="93"/>
      <c r="AT12" s="93"/>
      <c r="AU12" s="93"/>
      <c r="AV12" s="93"/>
      <c r="AW12" s="93"/>
      <c r="AX12" s="93"/>
      <c r="AY12" s="93"/>
      <c r="AZ12" s="93"/>
      <c r="BA12" s="93"/>
      <c r="BB12" s="93"/>
      <c r="BC12" s="93"/>
      <c r="BD12" s="93"/>
      <c r="BE12" s="93"/>
      <c r="BF12" s="93"/>
      <c r="BG12" s="93"/>
      <c r="BH12" s="93"/>
      <c r="BI12" s="93"/>
      <c r="BJ12" s="93"/>
      <c r="BK12" s="93"/>
      <c r="BL12" s="93"/>
      <c r="BM12" s="93"/>
      <c r="BN12" s="93"/>
      <c r="BO12" s="93"/>
      <c r="BP12" s="93"/>
      <c r="BQ12" s="93"/>
      <c r="BR12" s="93"/>
      <c r="BS12" s="93"/>
      <c r="BT12" s="93"/>
      <c r="BU12" s="93"/>
      <c r="BV12" s="93"/>
      <c r="BW12" s="93"/>
      <c r="BX12" s="93"/>
      <c r="BY12" s="93"/>
      <c r="BZ12" s="93"/>
      <c r="CA12" s="93"/>
      <c r="CB12" s="93"/>
      <c r="CC12" s="93"/>
      <c r="CD12" s="93"/>
      <c r="CE12" s="93"/>
      <c r="CF12" s="93"/>
      <c r="CG12" s="93"/>
      <c r="CH12" s="93"/>
    </row>
    <row r="13" spans="1:86">
      <c r="A13" s="134" t="s">
        <v>197</v>
      </c>
      <c r="B13" s="135" t="s">
        <v>4</v>
      </c>
      <c r="C13" s="135" t="s">
        <v>17</v>
      </c>
      <c r="D13" s="135" t="s">
        <v>54</v>
      </c>
      <c r="E13" s="207">
        <v>176948229</v>
      </c>
      <c r="F13" s="183">
        <f>(SUMIF(C$4:C$71,C13,E$4:E$71)-SUMIF('2020 CNESER'!C$4:C$71,C13,'2020 CNESER'!E$4:E$71))/SUMIF('2020 CNESER'!C$4:C$71,C13,'2020 CNESER'!E$4:E$71)</f>
        <v>1.2888593990376517E-2</v>
      </c>
      <c r="G13" s="207">
        <v>193889268</v>
      </c>
      <c r="H13" s="183">
        <f>(SUMIF(C$4:C$71,C13,G$4:G$71)-SUMIF('2020 CNESER'!C$4:C$71,C13,'2020 CNESER'!G$4:G$71))/SUMIF('2020 CNESER'!C$4:C$71,C13,'2020 CNESER'!G$4:G$71)</f>
        <v>1.839668145451042E-2</v>
      </c>
      <c r="I13" s="136">
        <f>SUMIF('2020 CNESER'!$C$4:$C$77,C13,'2020 CNESER'!$I$4:$I$77)</f>
        <v>2488</v>
      </c>
      <c r="J13" s="136">
        <f t="shared" si="5"/>
        <v>2508.3154084482862</v>
      </c>
      <c r="K13" s="173">
        <v>31863</v>
      </c>
      <c r="L13" s="101">
        <f>(SUMIF('2021 CNESER'!$C$4:$C$76,'2021 CNESER'!$C19,'2021 CNESER'!$K$4:$K$76)-SUMIF('2020 CNESER'!$C$4:$C$76,'2021 CNESER'!$C19,'2020 CNESER'!$L$4:$L$76))/SUMIF('2020 CNESER'!$C$4:$C$76,'2021 CNESER'!$C19,'2020 CNESER'!$L$4:$L$76)</f>
        <v>2.1843429418418693E-2</v>
      </c>
      <c r="M13" s="27">
        <f t="shared" si="0"/>
        <v>6085.0914226532341</v>
      </c>
      <c r="N13" s="212">
        <f>J13/K13*100</f>
        <v>7.8721884582377246</v>
      </c>
      <c r="O13" s="199">
        <f t="shared" si="1"/>
        <v>154.85193871635693</v>
      </c>
      <c r="P13" s="197">
        <f t="shared" si="2"/>
        <v>14003772.631935298</v>
      </c>
      <c r="Q13" s="217">
        <f t="shared" si="6"/>
        <v>9291116.3229814153</v>
      </c>
      <c r="R13" s="197">
        <f t="shared" si="7"/>
        <v>4712656.3089538831</v>
      </c>
      <c r="S13" s="138">
        <f t="shared" si="3"/>
        <v>70544.648573308848</v>
      </c>
      <c r="T13" s="96">
        <f t="shared" si="4"/>
        <v>0.91262518459763331</v>
      </c>
      <c r="U13" s="93"/>
      <c r="V13" s="93"/>
      <c r="W13" s="93"/>
      <c r="X13" s="93"/>
      <c r="Y13" s="93"/>
      <c r="Z13" s="93"/>
      <c r="AA13" s="93"/>
      <c r="AB13" s="93"/>
      <c r="AC13" s="93"/>
      <c r="AD13" s="93"/>
      <c r="AE13" s="93"/>
      <c r="AF13" s="93"/>
      <c r="AG13" s="93"/>
      <c r="AH13" s="93"/>
      <c r="AI13" s="93"/>
      <c r="AJ13" s="93"/>
      <c r="AK13" s="93"/>
      <c r="AL13" s="93"/>
      <c r="AM13" s="93"/>
      <c r="AN13" s="93"/>
      <c r="AO13" s="93"/>
      <c r="AP13" s="93"/>
      <c r="AQ13" s="93"/>
      <c r="AR13" s="93"/>
      <c r="AS13" s="93"/>
      <c r="AT13" s="93"/>
      <c r="AU13" s="93"/>
      <c r="AV13" s="93"/>
      <c r="AW13" s="93"/>
      <c r="AX13" s="93"/>
      <c r="AY13" s="93"/>
      <c r="AZ13" s="93"/>
      <c r="BA13" s="93"/>
      <c r="BB13" s="93"/>
      <c r="BC13" s="93"/>
      <c r="BD13" s="93"/>
      <c r="BE13" s="93"/>
      <c r="BF13" s="93"/>
      <c r="BG13" s="93"/>
      <c r="BH13" s="93"/>
      <c r="BI13" s="93"/>
      <c r="BJ13" s="93"/>
      <c r="BK13" s="93"/>
      <c r="BL13" s="93"/>
      <c r="BM13" s="93"/>
      <c r="BN13" s="93"/>
      <c r="BO13" s="93"/>
      <c r="BP13" s="93"/>
      <c r="BQ13" s="93"/>
      <c r="BR13" s="93"/>
      <c r="BS13" s="93"/>
      <c r="BT13" s="93"/>
      <c r="BU13" s="93"/>
      <c r="BV13" s="93"/>
      <c r="BW13" s="93"/>
      <c r="BX13" s="93"/>
      <c r="BY13" s="93"/>
      <c r="BZ13" s="93"/>
      <c r="CA13" s="93"/>
      <c r="CB13" s="93"/>
      <c r="CC13" s="93"/>
      <c r="CD13" s="93"/>
      <c r="CE13" s="93"/>
      <c r="CF13" s="93"/>
      <c r="CG13" s="93"/>
      <c r="CH13" s="93"/>
    </row>
    <row r="14" spans="1:86">
      <c r="A14" s="134" t="s">
        <v>197</v>
      </c>
      <c r="B14" s="135" t="s">
        <v>6</v>
      </c>
      <c r="C14" s="135" t="s">
        <v>43</v>
      </c>
      <c r="D14" s="135" t="s">
        <v>43</v>
      </c>
      <c r="E14" s="207">
        <v>231235850</v>
      </c>
      <c r="F14" s="183">
        <f>(SUMIF(C$4:C$71,C14,E$4:E$71)-SUMIF('2020 CNESER'!C$4:C$71,C14,'2020 CNESER'!E$4:E$71))/SUMIF('2020 CNESER'!C$4:C$71,C14,'2020 CNESER'!E$4:E$71)</f>
        <v>1.7799275737692469E-2</v>
      </c>
      <c r="G14" s="207">
        <v>254829661</v>
      </c>
      <c r="H14" s="183">
        <f>(SUMIF(C$4:C$71,C14,G$4:G$71)-SUMIF('2020 CNESER'!C$4:C$71,C14,'2020 CNESER'!G$4:G$71))/SUMIF('2020 CNESER'!C$4:C$71,C14,'2020 CNESER'!G$4:G$71)</f>
        <v>1.7111585092383655E-2</v>
      </c>
      <c r="I14" s="136">
        <f>SUMIF('2020 CNESER'!$C$4:$C$77,C14,'2020 CNESER'!$I$4:$I$77)</f>
        <v>3320</v>
      </c>
      <c r="J14" s="136">
        <f t="shared" si="5"/>
        <v>3365.4735925764949</v>
      </c>
      <c r="K14" s="173">
        <v>41632</v>
      </c>
      <c r="L14" s="101">
        <f>(SUMIF('2021 CNESER'!$C$4:$C$76,'2021 CNESER'!$C11,'2021 CNESER'!$K$4:$K$76)-SUMIF('2020 CNESER'!$C$4:$C$76,'2021 CNESER'!$C11,'2020 CNESER'!$L$4:$L$76))/SUMIF('2020 CNESER'!$C$4:$C$76,'2021 CNESER'!$C11,'2020 CNESER'!$L$4:$L$76)</f>
        <v>4.1557075223566546E-2</v>
      </c>
      <c r="M14" s="27">
        <f t="shared" si="0"/>
        <v>6121.0045397770946</v>
      </c>
      <c r="N14" s="212">
        <f>I14/K14*100</f>
        <v>7.9746348962336659</v>
      </c>
      <c r="O14" s="199">
        <f t="shared" si="1"/>
        <v>114.20449790959992</v>
      </c>
      <c r="P14" s="197">
        <f t="shared" si="2"/>
        <v>16802108.374783635</v>
      </c>
      <c r="Q14" s="217">
        <f t="shared" si="6"/>
        <v>6852269.8745759949</v>
      </c>
      <c r="R14" s="197">
        <f t="shared" si="7"/>
        <v>9949838.5002076402</v>
      </c>
      <c r="S14" s="138">
        <f t="shared" si="3"/>
        <v>68708.264569377745</v>
      </c>
      <c r="T14" s="96">
        <f t="shared" si="4"/>
        <v>0.90741340349701283</v>
      </c>
      <c r="U14" s="93"/>
      <c r="V14" s="93"/>
      <c r="W14" s="93"/>
      <c r="X14" s="93"/>
      <c r="Y14" s="93"/>
      <c r="Z14" s="93"/>
      <c r="AA14" s="93"/>
      <c r="AB14" s="93"/>
      <c r="AC14" s="93"/>
      <c r="AD14" s="93"/>
      <c r="AE14" s="93"/>
      <c r="AF14" s="93"/>
      <c r="AG14" s="93"/>
      <c r="AH14" s="93"/>
      <c r="AI14" s="93"/>
      <c r="AJ14" s="93"/>
      <c r="AK14" s="93"/>
      <c r="AL14" s="93"/>
      <c r="AM14" s="93"/>
      <c r="AN14" s="93"/>
      <c r="AO14" s="93"/>
      <c r="AP14" s="93"/>
      <c r="AQ14" s="93"/>
      <c r="AR14" s="93"/>
      <c r="AS14" s="93"/>
      <c r="AT14" s="93"/>
      <c r="AU14" s="93"/>
      <c r="AV14" s="93"/>
      <c r="AW14" s="93"/>
      <c r="AX14" s="93"/>
      <c r="AY14" s="93"/>
      <c r="AZ14" s="93"/>
      <c r="BA14" s="93"/>
      <c r="BB14" s="93"/>
      <c r="BC14" s="93"/>
      <c r="BD14" s="93"/>
      <c r="BE14" s="93"/>
      <c r="BF14" s="93"/>
      <c r="BG14" s="93"/>
      <c r="BH14" s="93"/>
      <c r="BI14" s="93"/>
      <c r="BJ14" s="93"/>
      <c r="BK14" s="93"/>
      <c r="BL14" s="93"/>
      <c r="BM14" s="93"/>
      <c r="BN14" s="93"/>
      <c r="BO14" s="93"/>
      <c r="BP14" s="93"/>
      <c r="BQ14" s="93"/>
      <c r="BR14" s="93"/>
      <c r="BS14" s="93"/>
      <c r="BT14" s="93"/>
      <c r="BU14" s="93"/>
      <c r="BV14" s="93"/>
      <c r="BW14" s="93"/>
      <c r="BX14" s="93"/>
      <c r="BY14" s="93"/>
      <c r="BZ14" s="93"/>
      <c r="CA14" s="93"/>
      <c r="CB14" s="93"/>
      <c r="CC14" s="93"/>
      <c r="CD14" s="93"/>
      <c r="CE14" s="93"/>
      <c r="CF14" s="93"/>
      <c r="CG14" s="93"/>
      <c r="CH14" s="93"/>
    </row>
    <row r="15" spans="1:86">
      <c r="A15" s="134" t="s">
        <v>197</v>
      </c>
      <c r="B15" s="135" t="s">
        <v>6</v>
      </c>
      <c r="C15" s="135" t="s">
        <v>15</v>
      </c>
      <c r="D15" s="135" t="s">
        <v>246</v>
      </c>
      <c r="E15" s="207">
        <v>138146144</v>
      </c>
      <c r="F15" s="183">
        <f>(SUMIF(C$4:C$71,C15,E$4:E$71)-SUMIF('2020 CNESER'!C$4:C$71,C15,'2020 CNESER'!E$4:E$71))/SUMIF('2020 CNESER'!C$4:C$71,C15,'2020 CNESER'!E$4:E$71)</f>
        <v>1.2319951599569891E-2</v>
      </c>
      <c r="G15" s="207">
        <v>153797647</v>
      </c>
      <c r="H15" s="183">
        <f>(SUMIF(C$4:C$71,C15,G$4:G$71)-SUMIF('2020 CNESER'!C$4:C$71,C15,'2020 CNESER'!G$4:G$71))/SUMIF('2020 CNESER'!C$4:C$71,C15,'2020 CNESER'!G$4:G$71)</f>
        <v>1.8813649004875435E-2</v>
      </c>
      <c r="I15" s="136">
        <f>SUMIF('2020 CNESER'!$C$4:$C$77,C15,'2020 CNESER'!$I$4:$I$77)</f>
        <v>1925</v>
      </c>
      <c r="J15" s="136">
        <f t="shared" si="5"/>
        <v>1939.551282395787</v>
      </c>
      <c r="K15" s="173">
        <v>24997</v>
      </c>
      <c r="L15" s="101">
        <f>(SUMIF('2021 CNESER'!$C$4:$C$76,'2021 CNESER'!$C25,'2021 CNESER'!$K$4:$K$76)-SUMIF('2020 CNESER'!$C$4:$C$76,'2021 CNESER'!$C25,'2020 CNESER'!$L$4:$L$76))/SUMIF('2020 CNESER'!$C$4:$C$76,'2021 CNESER'!$C25,'2020 CNESER'!$L$4:$L$76)</f>
        <v>4.9173797783058394E-3</v>
      </c>
      <c r="M15" s="27">
        <f t="shared" si="0"/>
        <v>6152.6441973036763</v>
      </c>
      <c r="N15" s="212">
        <f>I15/K15*100</f>
        <v>7.7009241108933075</v>
      </c>
      <c r="O15" s="199">
        <f t="shared" si="1"/>
        <v>149.74332818936182</v>
      </c>
      <c r="P15" s="197">
        <f t="shared" si="2"/>
        <v>9297552.3433288336</v>
      </c>
      <c r="Q15" s="217">
        <f t="shared" si="6"/>
        <v>8984599.6913617086</v>
      </c>
      <c r="R15" s="197">
        <f>IF(P15&gt;0,P15-Q15,0)</f>
        <v>312952.65196712501</v>
      </c>
      <c r="S15" s="138">
        <f t="shared" si="3"/>
        <v>71225.826949704613</v>
      </c>
      <c r="T15" s="96">
        <f t="shared" si="4"/>
        <v>0.89823314397001142</v>
      </c>
      <c r="U15" s="93"/>
      <c r="V15" s="93"/>
      <c r="W15" s="93"/>
      <c r="X15" s="93"/>
      <c r="Y15" s="93"/>
      <c r="Z15" s="93"/>
      <c r="AA15" s="93"/>
      <c r="AB15" s="93"/>
      <c r="AC15" s="93"/>
      <c r="AD15" s="93"/>
      <c r="AE15" s="93"/>
      <c r="AF15" s="93"/>
      <c r="AG15" s="93"/>
      <c r="AH15" s="93"/>
      <c r="AI15" s="93"/>
      <c r="AJ15" s="93"/>
      <c r="AK15" s="93"/>
      <c r="AL15" s="93"/>
      <c r="AM15" s="93"/>
      <c r="AN15" s="93"/>
      <c r="AO15" s="93"/>
      <c r="AP15" s="93"/>
      <c r="AQ15" s="93"/>
      <c r="AR15" s="93"/>
      <c r="AS15" s="93"/>
      <c r="AT15" s="93"/>
      <c r="AU15" s="93"/>
      <c r="AV15" s="93"/>
      <c r="AW15" s="93"/>
      <c r="AX15" s="93"/>
      <c r="AY15" s="93"/>
      <c r="AZ15" s="93"/>
      <c r="BA15" s="93"/>
      <c r="BB15" s="93"/>
      <c r="BC15" s="93"/>
      <c r="BD15" s="93"/>
      <c r="BE15" s="93"/>
      <c r="BF15" s="93"/>
      <c r="BG15" s="93"/>
      <c r="BH15" s="93"/>
      <c r="BI15" s="93"/>
      <c r="BJ15" s="93"/>
      <c r="BK15" s="93"/>
      <c r="BL15" s="93"/>
      <c r="BM15" s="93"/>
      <c r="BN15" s="93"/>
      <c r="BO15" s="93"/>
      <c r="BP15" s="93"/>
      <c r="BQ15" s="93"/>
      <c r="BR15" s="93"/>
      <c r="BS15" s="93"/>
      <c r="BT15" s="93"/>
      <c r="BU15" s="93"/>
      <c r="BV15" s="93"/>
      <c r="BW15" s="93"/>
      <c r="BX15" s="93"/>
      <c r="BY15" s="93"/>
      <c r="BZ15" s="93"/>
      <c r="CA15" s="93"/>
      <c r="CB15" s="93"/>
      <c r="CC15" s="93"/>
      <c r="CD15" s="93"/>
      <c r="CE15" s="93"/>
      <c r="CF15" s="93"/>
      <c r="CG15" s="93"/>
      <c r="CH15" s="93"/>
    </row>
    <row r="16" spans="1:86">
      <c r="A16" s="134" t="s">
        <v>197</v>
      </c>
      <c r="B16" s="135" t="s">
        <v>6</v>
      </c>
      <c r="C16" s="135" t="s">
        <v>23</v>
      </c>
      <c r="D16" s="135" t="s">
        <v>23</v>
      </c>
      <c r="E16" s="207">
        <v>179756056</v>
      </c>
      <c r="F16" s="183">
        <f>(SUMIF(C$4:C$71,C16,E$4:E$71)-SUMIF('2020 CNESER'!C$4:C$71,C16,'2020 CNESER'!E$4:E$71))/SUMIF('2020 CNESER'!C$4:C$71,C16,'2020 CNESER'!E$4:E$71)</f>
        <v>8.4601938659152626E-3</v>
      </c>
      <c r="G16" s="207">
        <v>197928489</v>
      </c>
      <c r="H16" s="183">
        <f>(SUMIF(C$4:C$71,C16,G$4:G$71)-SUMIF('2020 CNESER'!C$4:C$71,C16,'2020 CNESER'!G$4:G$71))/SUMIF('2020 CNESER'!C$4:C$71,C16,'2020 CNESER'!G$4:G$71)</f>
        <v>5.0651598268920605E-3</v>
      </c>
      <c r="I16" s="136">
        <f>SUMIF('2020 CNESER'!$C$4:$C$77,C16,'2020 CNESER'!$I$4:$I$77)</f>
        <v>2555</v>
      </c>
      <c r="J16" s="136">
        <f t="shared" si="5"/>
        <v>2562.3705791055386</v>
      </c>
      <c r="K16" s="173">
        <v>31819</v>
      </c>
      <c r="L16" s="101">
        <f>(SUMIF('2021 CNESER'!$C$4:$C$76,'2021 CNESER'!$C18,'2021 CNESER'!$K$4:$K$76)-SUMIF('2020 CNESER'!$C$4:$C$76,'2021 CNESER'!$C18,'2020 CNESER'!$L$4:$L$76))/SUMIF('2020 CNESER'!$C$4:$C$76,'2021 CNESER'!$C18,'2020 CNESER'!$L$4:$L$76)</f>
        <v>5.0102027525723965E-2</v>
      </c>
      <c r="M16" s="27">
        <f t="shared" si="0"/>
        <v>6220.449699864861</v>
      </c>
      <c r="N16" s="212">
        <f>J16/K16*100</f>
        <v>8.0529576011362352</v>
      </c>
      <c r="O16" s="199">
        <f t="shared" si="1"/>
        <v>97.119168232495667</v>
      </c>
      <c r="P16" s="197">
        <f t="shared" si="2"/>
        <v>9677469.6312509477</v>
      </c>
      <c r="Q16" s="217">
        <f t="shared" si="6"/>
        <v>5827150.0939497398</v>
      </c>
      <c r="R16" s="197">
        <f t="shared" si="7"/>
        <v>3850319.5373012079</v>
      </c>
      <c r="S16" s="138">
        <f t="shared" si="3"/>
        <v>70152.247869919142</v>
      </c>
      <c r="T16" s="96">
        <f t="shared" si="4"/>
        <v>0.90818687551340826</v>
      </c>
      <c r="U16" s="93"/>
      <c r="V16" s="93"/>
      <c r="W16" s="93"/>
      <c r="X16" s="93"/>
      <c r="Y16" s="93"/>
      <c r="Z16" s="93"/>
      <c r="AA16" s="93"/>
      <c r="AB16" s="93"/>
      <c r="AC16" s="93"/>
      <c r="AD16" s="93"/>
      <c r="AE16" s="93"/>
      <c r="AF16" s="93"/>
      <c r="AG16" s="93"/>
      <c r="AH16" s="93"/>
      <c r="AI16" s="93"/>
      <c r="AJ16" s="93"/>
      <c r="AK16" s="93"/>
      <c r="AL16" s="93"/>
      <c r="AM16" s="93"/>
      <c r="AN16" s="93"/>
      <c r="AO16" s="93"/>
      <c r="AP16" s="93"/>
      <c r="AQ16" s="93"/>
      <c r="AR16" s="93"/>
      <c r="AS16" s="93"/>
      <c r="AT16" s="93"/>
      <c r="AU16" s="93"/>
      <c r="AV16" s="93"/>
      <c r="AW16" s="93"/>
      <c r="AX16" s="93"/>
      <c r="AY16" s="93"/>
      <c r="AZ16" s="93"/>
      <c r="BA16" s="93"/>
      <c r="BB16" s="93"/>
      <c r="BC16" s="93"/>
      <c r="BD16" s="93"/>
      <c r="BE16" s="93"/>
      <c r="BF16" s="93"/>
      <c r="BG16" s="93"/>
      <c r="BH16" s="93"/>
      <c r="BI16" s="93"/>
      <c r="BJ16" s="93"/>
      <c r="BK16" s="93"/>
      <c r="BL16" s="93"/>
      <c r="BM16" s="93"/>
      <c r="BN16" s="93"/>
      <c r="BO16" s="93"/>
      <c r="BP16" s="93"/>
      <c r="BQ16" s="93"/>
      <c r="BR16" s="93"/>
      <c r="BS16" s="93"/>
      <c r="BT16" s="93"/>
      <c r="BU16" s="93"/>
      <c r="BV16" s="93"/>
      <c r="BW16" s="93"/>
      <c r="BX16" s="93"/>
      <c r="BY16" s="93"/>
      <c r="BZ16" s="93"/>
      <c r="CA16" s="93"/>
      <c r="CB16" s="93"/>
      <c r="CC16" s="93"/>
      <c r="CD16" s="93"/>
      <c r="CE16" s="93"/>
      <c r="CF16" s="93"/>
      <c r="CG16" s="93"/>
      <c r="CH16" s="93"/>
    </row>
    <row r="17" spans="1:86">
      <c r="A17" s="134" t="s">
        <v>197</v>
      </c>
      <c r="B17" s="135" t="s">
        <v>40</v>
      </c>
      <c r="C17" s="135" t="s">
        <v>41</v>
      </c>
      <c r="D17" s="135" t="s">
        <v>41</v>
      </c>
      <c r="E17" s="207">
        <v>274007113</v>
      </c>
      <c r="F17" s="183">
        <f>(SUMIF(C$4:C$71,C17,E$4:E$71)-SUMIF('2020 CNESER'!C$4:C$71,C17,'2020 CNESER'!E$4:E$71))/SUMIF('2020 CNESER'!C$4:C$71,C17,'2020 CNESER'!E$4:E$71)</f>
        <v>9.3455456602681113E-3</v>
      </c>
      <c r="G17" s="207">
        <v>301007987</v>
      </c>
      <c r="H17" s="183">
        <f>(SUMIF(C$4:C$71,C17,G$4:G$71)-SUMIF('2020 CNESER'!C$4:C$71,C17,'2020 CNESER'!G$4:G$71))/SUMIF('2020 CNESER'!C$4:C$71,C17,'2020 CNESER'!G$4:G$71)</f>
        <v>1.276920373447153E-2</v>
      </c>
      <c r="I17" s="136">
        <f>SUMIF('2020 CNESER'!$C$4:$C$77,C17,'2020 CNESER'!$I$4:$I$77)</f>
        <v>4022</v>
      </c>
      <c r="J17" s="136">
        <f t="shared" si="5"/>
        <v>4037.2783884629957</v>
      </c>
      <c r="K17" s="173">
        <v>47894</v>
      </c>
      <c r="L17" s="101">
        <f>(SUMIF('2021 CNESER'!$C$4:$C$76,'2021 CNESER'!$C54,'2021 CNESER'!$K$4:$K$76)-SUMIF('2020 CNESER'!$C$4:$C$76,'2021 CNESER'!$C54,'2020 CNESER'!$L$4:$L$76))/SUMIF('2020 CNESER'!$C$4:$C$76,'2021 CNESER'!$C54,'2020 CNESER'!$L$4:$L$76)</f>
        <v>-0.24785963428813021</v>
      </c>
      <c r="M17" s="27">
        <f t="shared" si="0"/>
        <v>6284.878836597486</v>
      </c>
      <c r="N17" s="212">
        <f>I17/K17*100</f>
        <v>8.3977116131456953</v>
      </c>
      <c r="O17" s="192">
        <f t="shared" si="1"/>
        <v>-34.210977199039917</v>
      </c>
      <c r="P17" s="197">
        <f t="shared" si="2"/>
        <v>11480770.744905055</v>
      </c>
      <c r="Q17" s="218">
        <f t="shared" si="6"/>
        <v>0</v>
      </c>
      <c r="R17" s="197">
        <f t="shared" si="7"/>
        <v>11480770.744905055</v>
      </c>
      <c r="S17" s="138">
        <f t="shared" si="3"/>
        <v>67869.264052488419</v>
      </c>
      <c r="T17" s="96">
        <f t="shared" si="4"/>
        <v>0.91029847988717982</v>
      </c>
      <c r="U17" s="93"/>
      <c r="V17" s="93"/>
      <c r="W17" s="93"/>
      <c r="X17" s="93"/>
      <c r="Y17" s="93"/>
      <c r="Z17" s="93"/>
      <c r="AA17" s="93"/>
      <c r="AB17" s="93"/>
      <c r="AC17" s="93"/>
      <c r="AD17" s="93"/>
      <c r="AE17" s="93"/>
      <c r="AF17" s="93"/>
      <c r="AG17" s="93"/>
      <c r="AH17" s="93"/>
      <c r="AI17" s="93"/>
      <c r="AJ17" s="93"/>
      <c r="AK17" s="93"/>
      <c r="AL17" s="93"/>
      <c r="AM17" s="93"/>
      <c r="AN17" s="93"/>
      <c r="AO17" s="93"/>
      <c r="AP17" s="93"/>
      <c r="AQ17" s="93"/>
      <c r="AR17" s="93"/>
      <c r="AS17" s="93"/>
      <c r="AT17" s="93"/>
      <c r="AU17" s="93"/>
      <c r="AV17" s="93"/>
      <c r="AW17" s="93"/>
      <c r="AX17" s="93"/>
      <c r="AY17" s="93"/>
      <c r="AZ17" s="93"/>
      <c r="BA17" s="93"/>
      <c r="BB17" s="93"/>
      <c r="BC17" s="93"/>
      <c r="BD17" s="93"/>
      <c r="BE17" s="93"/>
      <c r="BF17" s="93"/>
      <c r="BG17" s="93"/>
      <c r="BH17" s="93"/>
      <c r="BI17" s="93"/>
      <c r="BJ17" s="93"/>
      <c r="BK17" s="93"/>
      <c r="BL17" s="93"/>
      <c r="BM17" s="93"/>
      <c r="BN17" s="93"/>
      <c r="BO17" s="93"/>
      <c r="BP17" s="93"/>
      <c r="BQ17" s="93"/>
      <c r="BR17" s="93"/>
      <c r="BS17" s="93"/>
      <c r="BT17" s="93"/>
      <c r="BU17" s="93"/>
      <c r="BV17" s="93"/>
      <c r="BW17" s="93"/>
      <c r="BX17" s="93"/>
      <c r="BY17" s="93"/>
      <c r="BZ17" s="93"/>
      <c r="CA17" s="93"/>
      <c r="CB17" s="93"/>
      <c r="CC17" s="93"/>
      <c r="CD17" s="93"/>
      <c r="CE17" s="93"/>
      <c r="CF17" s="93"/>
      <c r="CG17" s="93"/>
      <c r="CH17" s="93"/>
    </row>
    <row r="18" spans="1:86">
      <c r="A18" s="134" t="s">
        <v>197</v>
      </c>
      <c r="B18" s="135" t="s">
        <v>6</v>
      </c>
      <c r="C18" s="135" t="s">
        <v>174</v>
      </c>
      <c r="D18" s="135" t="s">
        <v>252</v>
      </c>
      <c r="E18" s="207">
        <v>141672866</v>
      </c>
      <c r="F18" s="183">
        <f>(SUMIF(C$4:C$71,C18,E$4:E$71)-SUMIF('2020 CNESER'!C$4:C$71,C18,'2020 CNESER'!E$4:E$71))/SUMIF('2020 CNESER'!C$4:C$71,C18,'2020 CNESER'!E$4:E$71)</f>
        <v>1.3804609433789522E-2</v>
      </c>
      <c r="G18" s="207">
        <v>153815639</v>
      </c>
      <c r="H18" s="183">
        <f>(SUMIF(C$4:C$71,C18,G$4:G$71)-SUMIF('2020 CNESER'!C$4:C$71,C18,'2020 CNESER'!G$4:G$71))/SUMIF('2020 CNESER'!C$4:C$71,C18,'2020 CNESER'!G$4:G$71)</f>
        <v>1.3414324181524821E-2</v>
      </c>
      <c r="I18" s="136">
        <f>SUMIF('2020 CNESER'!$C$4:$C$77,C18,'2020 CNESER'!$I$4:$I$77)</f>
        <v>1985</v>
      </c>
      <c r="J18" s="136">
        <f t="shared" si="5"/>
        <v>2003.4283564415932</v>
      </c>
      <c r="K18" s="173">
        <v>24187</v>
      </c>
      <c r="L18" s="101">
        <f>(SUMIF('2021 CNESER'!$C$4:$C$76,'2021 CNESER'!$C21,'2021 CNESER'!$K$4:$K$76)-SUMIF('2020 CNESER'!$C$4:$C$76,'2021 CNESER'!$C21,'2020 CNESER'!$L$4:$L$76))/SUMIF('2020 CNESER'!$C$4:$C$76,'2021 CNESER'!$C21,'2020 CNESER'!$L$4:$L$76)</f>
        <v>2.558121749770572E-2</v>
      </c>
      <c r="M18" s="27">
        <f t="shared" si="0"/>
        <v>6359.4343655682806</v>
      </c>
      <c r="N18" s="212">
        <f>J18/K18*100</f>
        <v>8.2830791600512388</v>
      </c>
      <c r="O18" s="199">
        <f t="shared" si="1"/>
        <v>18.164984608252098</v>
      </c>
      <c r="P18" s="197">
        <f t="shared" si="2"/>
        <v>3994641.6943671107</v>
      </c>
      <c r="Q18" s="217">
        <f t="shared" si="6"/>
        <v>1089899.0764951259</v>
      </c>
      <c r="R18" s="197">
        <f t="shared" si="7"/>
        <v>2904742.6178719848</v>
      </c>
      <c r="S18" s="138">
        <f t="shared" si="3"/>
        <v>70715.214519391899</v>
      </c>
      <c r="T18" s="96">
        <f t="shared" si="4"/>
        <v>0.92105631729683868</v>
      </c>
      <c r="U18" s="93"/>
      <c r="V18" s="93"/>
      <c r="W18" s="93"/>
      <c r="X18" s="93"/>
      <c r="Y18" s="93"/>
      <c r="Z18" s="93"/>
      <c r="AA18" s="93"/>
      <c r="AB18" s="93"/>
      <c r="AC18" s="93"/>
      <c r="AD18" s="93"/>
      <c r="AE18" s="93"/>
      <c r="AF18" s="93"/>
      <c r="AG18" s="93"/>
      <c r="AH18" s="93"/>
      <c r="AI18" s="93"/>
      <c r="AJ18" s="93"/>
      <c r="AK18" s="93"/>
      <c r="AL18" s="93"/>
      <c r="AM18" s="93"/>
      <c r="AN18" s="93"/>
      <c r="AO18" s="93"/>
      <c r="AP18" s="93"/>
      <c r="AQ18" s="93"/>
      <c r="AR18" s="93"/>
      <c r="AS18" s="93"/>
      <c r="AT18" s="93"/>
      <c r="AU18" s="93"/>
      <c r="AV18" s="93"/>
      <c r="AW18" s="93"/>
      <c r="AX18" s="93"/>
      <c r="AY18" s="93"/>
      <c r="AZ18" s="93"/>
      <c r="BA18" s="93"/>
      <c r="BB18" s="93"/>
      <c r="BC18" s="93"/>
      <c r="BD18" s="93"/>
      <c r="BE18" s="93"/>
      <c r="BF18" s="93"/>
      <c r="BG18" s="93"/>
      <c r="BH18" s="93"/>
      <c r="BI18" s="93"/>
      <c r="BJ18" s="93"/>
      <c r="BK18" s="93"/>
      <c r="BL18" s="93"/>
      <c r="BM18" s="93"/>
      <c r="BN18" s="93"/>
      <c r="BO18" s="93"/>
      <c r="BP18" s="93"/>
      <c r="BQ18" s="93"/>
      <c r="BR18" s="93"/>
      <c r="BS18" s="93"/>
      <c r="BT18" s="93"/>
      <c r="BU18" s="93"/>
      <c r="BV18" s="93"/>
      <c r="BW18" s="93"/>
      <c r="BX18" s="93"/>
      <c r="BY18" s="93"/>
      <c r="BZ18" s="93"/>
      <c r="CA18" s="93"/>
      <c r="CB18" s="93"/>
      <c r="CC18" s="93"/>
      <c r="CD18" s="93"/>
      <c r="CE18" s="93"/>
      <c r="CF18" s="93"/>
      <c r="CG18" s="93"/>
      <c r="CH18" s="93"/>
    </row>
    <row r="19" spans="1:86">
      <c r="A19" s="134" t="s">
        <v>197</v>
      </c>
      <c r="B19" s="135" t="s">
        <v>6</v>
      </c>
      <c r="C19" s="135" t="s">
        <v>59</v>
      </c>
      <c r="D19" s="135" t="s">
        <v>254</v>
      </c>
      <c r="E19" s="207">
        <v>150920374</v>
      </c>
      <c r="F19" s="183">
        <f>(SUMIF(C$4:C$71,C19,E$4:E$71)-SUMIF('2020 CNESER'!C$4:C$71,C19,'2020 CNESER'!E$4:E$71))/SUMIF('2020 CNESER'!C$4:C$71,C19,'2020 CNESER'!E$4:E$71)</f>
        <v>1.0411152431653322E-2</v>
      </c>
      <c r="G19" s="207">
        <v>166734758</v>
      </c>
      <c r="H19" s="183">
        <f>(SUMIF(C$4:C$71,C19,G$4:G$71)-SUMIF('2020 CNESER'!C$4:C$71,C19,'2020 CNESER'!G$4:G$71))/SUMIF('2020 CNESER'!C$4:C$71,C19,'2020 CNESER'!G$4:G$71)</f>
        <v>1.2888429395432333E-2</v>
      </c>
      <c r="I19" s="136">
        <f>SUMIF('2020 CNESER'!$C$4:$C$77,C19,'2020 CNESER'!$I$4:$I$77)</f>
        <v>2110</v>
      </c>
      <c r="J19" s="136">
        <f t="shared" si="5"/>
        <v>2121.0955462459356</v>
      </c>
      <c r="K19" s="173">
        <v>26197</v>
      </c>
      <c r="L19" s="101">
        <f>(SUMIF('2021 CNESER'!$C$4:$C$76,'2021 CNESER'!$C9,'2021 CNESER'!$K$4:$K$76)-SUMIF('2020 CNESER'!$C$4:$C$76,'2021 CNESER'!$C9,'2020 CNESER'!$L$4:$L$76))/SUMIF('2020 CNESER'!$C$4:$C$76,'2021 CNESER'!$C9,'2020 CNESER'!$L$4:$L$76)</f>
        <v>8.224303154946834E-2</v>
      </c>
      <c r="M19" s="27">
        <f t="shared" si="0"/>
        <v>6364.6508378822</v>
      </c>
      <c r="N19" s="212">
        <f>I19/K19*100</f>
        <v>8.0543573691644088</v>
      </c>
      <c r="O19" s="199">
        <f t="shared" si="1"/>
        <v>68.497241428550751</v>
      </c>
      <c r="P19" s="197">
        <f t="shared" si="2"/>
        <v>4189950.4529017508</v>
      </c>
      <c r="Q19" s="217">
        <f t="shared" si="6"/>
        <v>4109834.4857130451</v>
      </c>
      <c r="R19" s="197">
        <f t="shared" si="7"/>
        <v>80115.96718870569</v>
      </c>
      <c r="S19" s="138">
        <f t="shared" si="3"/>
        <v>71152.086603128046</v>
      </c>
      <c r="T19" s="96">
        <f t="shared" si="4"/>
        <v>0.905152445778582</v>
      </c>
      <c r="U19" s="93"/>
      <c r="V19" s="93"/>
      <c r="W19" s="93"/>
      <c r="X19" s="93"/>
      <c r="Y19" s="93"/>
      <c r="Z19" s="93"/>
      <c r="AA19" s="93"/>
      <c r="AB19" s="93"/>
      <c r="AC19" s="93"/>
      <c r="AD19" s="93"/>
      <c r="AE19" s="93"/>
      <c r="AF19" s="93"/>
      <c r="AG19" s="93"/>
      <c r="AH19" s="93"/>
      <c r="AI19" s="93"/>
      <c r="AJ19" s="93"/>
      <c r="AK19" s="93"/>
      <c r="AL19" s="93"/>
      <c r="AM19" s="93"/>
      <c r="AN19" s="93"/>
      <c r="AO19" s="93"/>
      <c r="AP19" s="93"/>
      <c r="AQ19" s="93"/>
      <c r="AR19" s="93"/>
      <c r="AS19" s="93"/>
      <c r="AT19" s="93"/>
      <c r="AU19" s="93"/>
      <c r="AV19" s="93"/>
      <c r="AW19" s="93"/>
      <c r="AX19" s="93"/>
      <c r="AY19" s="93"/>
      <c r="AZ19" s="93"/>
      <c r="BA19" s="93"/>
      <c r="BB19" s="93"/>
      <c r="BC19" s="93"/>
      <c r="BD19" s="93"/>
      <c r="BE19" s="93"/>
      <c r="BF19" s="93"/>
      <c r="BG19" s="93"/>
      <c r="BH19" s="93"/>
      <c r="BI19" s="93"/>
      <c r="BJ19" s="93"/>
      <c r="BK19" s="93"/>
      <c r="BL19" s="93"/>
      <c r="BM19" s="93"/>
      <c r="BN19" s="93"/>
      <c r="BO19" s="93"/>
      <c r="BP19" s="93"/>
      <c r="BQ19" s="93"/>
      <c r="BR19" s="93"/>
      <c r="BS19" s="93"/>
      <c r="BT19" s="93"/>
      <c r="BU19" s="93"/>
      <c r="BV19" s="93"/>
      <c r="BW19" s="93"/>
      <c r="BX19" s="93"/>
      <c r="BY19" s="93"/>
      <c r="BZ19" s="93"/>
      <c r="CA19" s="93"/>
      <c r="CB19" s="93"/>
      <c r="CC19" s="93"/>
      <c r="CD19" s="93"/>
      <c r="CE19" s="93"/>
      <c r="CF19" s="93"/>
      <c r="CG19" s="93"/>
      <c r="CH19" s="93"/>
    </row>
    <row r="20" spans="1:86">
      <c r="A20" s="134" t="s">
        <v>197</v>
      </c>
      <c r="B20" s="135" t="s">
        <v>18</v>
      </c>
      <c r="C20" s="135" t="s">
        <v>57</v>
      </c>
      <c r="D20" s="135" t="s">
        <v>57</v>
      </c>
      <c r="E20" s="207">
        <v>313168532</v>
      </c>
      <c r="F20" s="183">
        <f>(SUMIF(C$4:C$71,C20,E$4:E$71)-SUMIF('2020 CNESER'!C$4:C$71,C20,'2020 CNESER'!E$4:E$71))/SUMIF('2020 CNESER'!C$4:C$71,C20,'2020 CNESER'!E$4:E$71)</f>
        <v>1.2058940621554338E-2</v>
      </c>
      <c r="G20" s="207">
        <v>344677669</v>
      </c>
      <c r="H20" s="183">
        <f>(SUMIF(C$4:C$71,C20,G$4:G$71)-SUMIF('2020 CNESER'!C$4:C$71,C20,'2020 CNESER'!G$4:G$71))/SUMIF('2020 CNESER'!C$4:C$71,C20,'2020 CNESER'!G$4:G$71)</f>
        <v>1.2515945588949799E-2</v>
      </c>
      <c r="I20" s="136">
        <f>SUMIF('2020 CNESER'!$C$4:$C$77,C20,'2020 CNESER'!$I$4:$I$77)</f>
        <v>4609</v>
      </c>
      <c r="J20" s="136">
        <f t="shared" si="5"/>
        <v>4640.6244923321219</v>
      </c>
      <c r="K20" s="173">
        <v>54015</v>
      </c>
      <c r="L20" s="101">
        <f>(SUMIF('2021 CNESER'!$C$4:$C$76,'2021 CNESER'!$C14,'2021 CNESER'!$K$4:$K$76)-SUMIF('2020 CNESER'!$C$4:$C$76,'2021 CNESER'!$C14,'2020 CNESER'!$L$4:$L$76))/SUMIF('2020 CNESER'!$C$4:$C$76,'2021 CNESER'!$C14,'2020 CNESER'!$L$4:$L$76)</f>
        <v>3.3719024680935593E-2</v>
      </c>
      <c r="M20" s="27">
        <f t="shared" si="0"/>
        <v>6381.1472553920212</v>
      </c>
      <c r="N20" s="212">
        <f>I20/K20*100</f>
        <v>8.5328149588077391</v>
      </c>
      <c r="O20" s="192">
        <f t="shared" si="1"/>
        <v>-125.95279609830231</v>
      </c>
      <c r="P20" s="197">
        <f t="shared" si="2"/>
        <v>7748109.7946516275</v>
      </c>
      <c r="Q20" s="218">
        <f t="shared" si="6"/>
        <v>0</v>
      </c>
      <c r="R20" s="197">
        <f t="shared" si="7"/>
        <v>7748109.7946516275</v>
      </c>
      <c r="S20" s="138">
        <f t="shared" si="3"/>
        <v>67484.135490268629</v>
      </c>
      <c r="T20" s="96">
        <f t="shared" si="4"/>
        <v>0.90858375858402363</v>
      </c>
      <c r="U20" s="93"/>
      <c r="V20" s="93"/>
      <c r="W20" s="93"/>
      <c r="X20" s="93"/>
      <c r="Y20" s="93"/>
      <c r="Z20" s="93"/>
      <c r="AA20" s="93"/>
      <c r="AB20" s="93"/>
      <c r="AC20" s="93"/>
      <c r="AD20" s="93"/>
      <c r="AE20" s="93"/>
      <c r="AF20" s="93"/>
      <c r="AG20" s="93"/>
      <c r="AH20" s="93"/>
      <c r="AI20" s="93"/>
      <c r="AJ20" s="93"/>
      <c r="AK20" s="93"/>
      <c r="AL20" s="93"/>
      <c r="AM20" s="93"/>
      <c r="AN20" s="93"/>
      <c r="AO20" s="93"/>
      <c r="AP20" s="93"/>
      <c r="AQ20" s="93"/>
      <c r="AR20" s="93"/>
      <c r="AS20" s="93"/>
      <c r="AT20" s="93"/>
      <c r="AU20" s="93"/>
      <c r="AV20" s="93"/>
      <c r="AW20" s="93"/>
      <c r="AX20" s="93"/>
      <c r="AY20" s="93"/>
      <c r="AZ20" s="93"/>
      <c r="BA20" s="93"/>
      <c r="BB20" s="93"/>
      <c r="BC20" s="93"/>
      <c r="BD20" s="93"/>
      <c r="BE20" s="93"/>
      <c r="BF20" s="93"/>
      <c r="BG20" s="93"/>
      <c r="BH20" s="93"/>
      <c r="BI20" s="93"/>
      <c r="BJ20" s="93"/>
      <c r="BK20" s="93"/>
      <c r="BL20" s="93"/>
      <c r="BM20" s="93"/>
      <c r="BN20" s="93"/>
      <c r="BO20" s="93"/>
      <c r="BP20" s="93"/>
      <c r="BQ20" s="93"/>
      <c r="BR20" s="93"/>
      <c r="BS20" s="93"/>
      <c r="BT20" s="93"/>
      <c r="BU20" s="93"/>
      <c r="BV20" s="93"/>
      <c r="BW20" s="93"/>
      <c r="BX20" s="93"/>
      <c r="BY20" s="93"/>
      <c r="BZ20" s="93"/>
      <c r="CA20" s="93"/>
      <c r="CB20" s="93"/>
      <c r="CC20" s="93"/>
      <c r="CD20" s="93"/>
      <c r="CE20" s="93"/>
      <c r="CF20" s="93"/>
      <c r="CG20" s="93"/>
      <c r="CH20" s="93"/>
    </row>
    <row r="21" spans="1:86">
      <c r="A21" s="134" t="s">
        <v>197</v>
      </c>
      <c r="B21" s="135" t="s">
        <v>4</v>
      </c>
      <c r="C21" s="135" t="s">
        <v>51</v>
      </c>
      <c r="D21" s="135" t="s">
        <v>51</v>
      </c>
      <c r="E21" s="207">
        <v>159604945</v>
      </c>
      <c r="F21" s="183">
        <f>(SUMIF(C$4:C$71,C21,E$4:E$71)-SUMIF('2020 CNESER'!C$4:C$71,C21,'2020 CNESER'!E$4:E$71))/SUMIF('2020 CNESER'!C$4:C$71,C21,'2020 CNESER'!E$4:E$71)</f>
        <v>9.2818805652448433E-3</v>
      </c>
      <c r="G21" s="207">
        <v>173248012</v>
      </c>
      <c r="H21" s="183">
        <f>(SUMIF(C$4:C$71,C21,G$4:G$71)-SUMIF('2020 CNESER'!C$4:C$71,C21,'2020 CNESER'!G$4:G$71))/SUMIF('2020 CNESER'!C$4:C$71,C21,'2020 CNESER'!G$4:G$71)</f>
        <v>9.8110167560199867E-3</v>
      </c>
      <c r="I21" s="136">
        <f>SUMIF('2020 CNESER'!$C$4:$C$77,C21,'2020 CNESER'!$I$4:$I$77)</f>
        <v>2261</v>
      </c>
      <c r="J21" s="136">
        <f t="shared" si="5"/>
        <v>2269.730072785208</v>
      </c>
      <c r="K21" s="173">
        <v>26821</v>
      </c>
      <c r="L21" s="101">
        <f>(SUMIF('2021 CNESER'!$C$4:$C$76,'2021 CNESER'!$C20,'2021 CNESER'!$K$4:$K$76)-SUMIF('2020 CNESER'!$C$4:$C$76,'2021 CNESER'!$C20,'2020 CNESER'!$L$4:$L$76))/SUMIF('2020 CNESER'!$C$4:$C$76,'2021 CNESER'!$C20,'2020 CNESER'!$L$4:$L$76)</f>
        <v>1.0513909415748415E-2</v>
      </c>
      <c r="M21" s="27">
        <f t="shared" si="0"/>
        <v>6459.4165765631406</v>
      </c>
      <c r="N21" s="212">
        <f>I21/K21*100</f>
        <v>8.4299615972558826</v>
      </c>
      <c r="O21" s="192">
        <f t="shared" si="1"/>
        <v>-27.982233024265952</v>
      </c>
      <c r="P21" s="197">
        <f t="shared" si="2"/>
        <v>1748041.1898796856</v>
      </c>
      <c r="Q21" s="218">
        <f t="shared" si="6"/>
        <v>0</v>
      </c>
      <c r="R21" s="197">
        <f t="shared" si="7"/>
        <v>1748041.1898796856</v>
      </c>
      <c r="S21" s="138">
        <f t="shared" si="3"/>
        <v>70318.910126677409</v>
      </c>
      <c r="T21" s="96">
        <f t="shared" si="4"/>
        <v>0.92125123490594507</v>
      </c>
      <c r="U21" s="93"/>
      <c r="V21" s="93"/>
      <c r="W21" s="93"/>
      <c r="X21" s="93"/>
      <c r="Y21" s="93"/>
      <c r="Z21" s="93"/>
      <c r="AA21" s="93"/>
      <c r="AB21" s="93"/>
      <c r="AC21" s="93"/>
      <c r="AD21" s="93"/>
      <c r="AE21" s="93"/>
      <c r="AF21" s="93"/>
      <c r="AG21" s="93"/>
      <c r="AH21" s="93"/>
      <c r="AI21" s="93"/>
      <c r="AJ21" s="93"/>
      <c r="AK21" s="93"/>
      <c r="AL21" s="93"/>
      <c r="AM21" s="93"/>
      <c r="AN21" s="93"/>
      <c r="AO21" s="93"/>
      <c r="AP21" s="93"/>
      <c r="AQ21" s="93"/>
      <c r="AR21" s="93"/>
      <c r="AS21" s="93"/>
      <c r="AT21" s="93"/>
      <c r="AU21" s="93"/>
      <c r="AV21" s="93"/>
      <c r="AW21" s="93"/>
      <c r="AX21" s="93"/>
      <c r="AY21" s="93"/>
      <c r="AZ21" s="93"/>
      <c r="BA21" s="93"/>
      <c r="BB21" s="93"/>
      <c r="BC21" s="93"/>
      <c r="BD21" s="93"/>
      <c r="BE21" s="93"/>
      <c r="BF21" s="93"/>
      <c r="BG21" s="93"/>
      <c r="BH21" s="93"/>
      <c r="BI21" s="93"/>
      <c r="BJ21" s="93"/>
      <c r="BK21" s="93"/>
      <c r="BL21" s="93"/>
      <c r="BM21" s="93"/>
      <c r="BN21" s="93"/>
      <c r="BO21" s="93"/>
      <c r="BP21" s="93"/>
      <c r="BQ21" s="93"/>
      <c r="BR21" s="93"/>
      <c r="BS21" s="93"/>
      <c r="BT21" s="93"/>
      <c r="BU21" s="93"/>
      <c r="BV21" s="93"/>
      <c r="BW21" s="93"/>
      <c r="BX21" s="93"/>
      <c r="BY21" s="93"/>
      <c r="BZ21" s="93"/>
      <c r="CA21" s="93"/>
      <c r="CB21" s="93"/>
      <c r="CC21" s="93"/>
      <c r="CD21" s="93"/>
      <c r="CE21" s="93"/>
      <c r="CF21" s="93"/>
      <c r="CG21" s="93"/>
      <c r="CH21" s="93"/>
    </row>
    <row r="22" spans="1:86">
      <c r="A22" s="134" t="s">
        <v>197</v>
      </c>
      <c r="B22" s="135" t="s">
        <v>25</v>
      </c>
      <c r="C22" s="135" t="s">
        <v>26</v>
      </c>
      <c r="D22" s="135" t="s">
        <v>248</v>
      </c>
      <c r="E22" s="207">
        <v>333713950</v>
      </c>
      <c r="F22" s="183">
        <f>(SUMIF(C$4:C$71,C22,E$4:E$71)-SUMIF('2020 CNESER'!C$4:C$71,C22,'2020 CNESER'!E$4:E$71))/SUMIF('2020 CNESER'!C$4:C$71,C22,'2020 CNESER'!E$4:E$71)</f>
        <v>1.5383005856488613E-2</v>
      </c>
      <c r="G22" s="207">
        <v>368955440</v>
      </c>
      <c r="H22" s="183">
        <f>(SUMIF(C$4:C$71,C22,G$4:G$71)-SUMIF('2020 CNESER'!C$4:C$71,C22,'2020 CNESER'!G$4:G$71))/SUMIF('2020 CNESER'!C$4:C$71,C22,'2020 CNESER'!G$4:G$71)</f>
        <v>1.3793839122656981E-2</v>
      </c>
      <c r="I22" s="136">
        <f>SUMIF('2020 CNESER'!$C$4:$C$77,C22,'2020 CNESER'!$I$4:$I$77)</f>
        <v>4694</v>
      </c>
      <c r="J22" s="136">
        <f t="shared" si="5"/>
        <v>4746.1873324540329</v>
      </c>
      <c r="K22" s="173">
        <v>57077</v>
      </c>
      <c r="L22" s="101">
        <f>(SUMIF('2021 CNESER'!$C$4:$C$76,'2021 CNESER'!$C27,'2021 CNESER'!$K$4:$K$76)-SUMIF('2020 CNESER'!$C$4:$C$76,'2021 CNESER'!$C27,'2020 CNESER'!$L$4:$L$76))/SUMIF('2020 CNESER'!$C$4:$C$76,'2021 CNESER'!$C27,'2020 CNESER'!$L$4:$L$76)</f>
        <v>3.4470921417741794E-2</v>
      </c>
      <c r="M22" s="27">
        <f t="shared" si="0"/>
        <v>6464.1701561049113</v>
      </c>
      <c r="N22" s="212">
        <f t="shared" ref="N22:N27" si="8">J22/K22*100</f>
        <v>8.3154113433677885</v>
      </c>
      <c r="O22" s="199">
        <f t="shared" si="1"/>
        <v>24.41187898608041</v>
      </c>
      <c r="P22" s="197">
        <f t="shared" si="2"/>
        <v>3448636.2059118748</v>
      </c>
      <c r="Q22" s="217">
        <f t="shared" si="6"/>
        <v>1464712.7391648246</v>
      </c>
      <c r="R22" s="197">
        <f t="shared" si="7"/>
        <v>1983923.4667470502</v>
      </c>
      <c r="S22" s="138">
        <f t="shared" si="3"/>
        <v>70312.005537179677</v>
      </c>
      <c r="T22" s="96">
        <f t="shared" si="4"/>
        <v>0.9044830725358054</v>
      </c>
      <c r="U22" s="93"/>
      <c r="V22" s="93"/>
      <c r="W22" s="93"/>
      <c r="X22" s="93"/>
      <c r="Y22" s="93"/>
      <c r="Z22" s="93"/>
      <c r="AA22" s="93"/>
      <c r="AB22" s="93"/>
      <c r="AC22" s="93"/>
      <c r="AD22" s="93"/>
      <c r="AE22" s="93"/>
      <c r="AF22" s="93"/>
      <c r="AG22" s="93"/>
      <c r="AH22" s="93"/>
      <c r="AI22" s="93"/>
      <c r="AJ22" s="93"/>
      <c r="AK22" s="93"/>
      <c r="AL22" s="93"/>
      <c r="AM22" s="93"/>
      <c r="AN22" s="93"/>
      <c r="AO22" s="93"/>
      <c r="AP22" s="93"/>
      <c r="AQ22" s="93"/>
      <c r="AR22" s="93"/>
      <c r="AS22" s="93"/>
      <c r="AT22" s="93"/>
      <c r="AU22" s="93"/>
      <c r="AV22" s="93"/>
      <c r="AW22" s="93"/>
      <c r="AX22" s="93"/>
      <c r="AY22" s="93"/>
      <c r="AZ22" s="93"/>
      <c r="BA22" s="93"/>
      <c r="BB22" s="93"/>
      <c r="BC22" s="93"/>
      <c r="BD22" s="93"/>
      <c r="BE22" s="93"/>
      <c r="BF22" s="93"/>
      <c r="BG22" s="93"/>
      <c r="BH22" s="93"/>
      <c r="BI22" s="93"/>
      <c r="BJ22" s="93"/>
      <c r="BK22" s="93"/>
      <c r="BL22" s="93"/>
      <c r="BM22" s="93"/>
      <c r="BN22" s="93"/>
      <c r="BO22" s="93"/>
      <c r="BP22" s="93"/>
      <c r="BQ22" s="93"/>
      <c r="BR22" s="93"/>
      <c r="BS22" s="93"/>
      <c r="BT22" s="93"/>
      <c r="BU22" s="93"/>
      <c r="BV22" s="93"/>
      <c r="BW22" s="93"/>
      <c r="BX22" s="93"/>
      <c r="BY22" s="93"/>
      <c r="BZ22" s="93"/>
      <c r="CA22" s="93"/>
      <c r="CB22" s="93"/>
      <c r="CC22" s="93"/>
      <c r="CD22" s="93"/>
      <c r="CE22" s="93"/>
      <c r="CF22" s="93"/>
      <c r="CG22" s="93"/>
      <c r="CH22" s="93"/>
    </row>
    <row r="23" spans="1:86">
      <c r="A23" s="134" t="s">
        <v>197</v>
      </c>
      <c r="B23" s="135" t="s">
        <v>6</v>
      </c>
      <c r="C23" s="135" t="s">
        <v>178</v>
      </c>
      <c r="D23" s="135" t="s">
        <v>34</v>
      </c>
      <c r="E23" s="207">
        <v>79519683</v>
      </c>
      <c r="F23" s="183">
        <f>(SUMIF(C$4:C$71,C23,E$4:E$71)-SUMIF('2020 CNESER'!C$4:C$71,C23,'2020 CNESER'!E$4:E$71))/SUMIF('2020 CNESER'!C$4:C$71,C23,'2020 CNESER'!E$4:E$71)</f>
        <v>-1.9169491036854593E-2</v>
      </c>
      <c r="G23" s="207">
        <v>85874875</v>
      </c>
      <c r="H23" s="183">
        <f>(SUMIF(C$4:C$71,C23,G$4:G$71)-SUMIF('2020 CNESER'!C$4:C$71,C23,'2020 CNESER'!G$4:G$71))/SUMIF('2020 CNESER'!C$4:C$71,C23,'2020 CNESER'!G$4:G$71)</f>
        <v>-2.1058149960110982E-2</v>
      </c>
      <c r="I23" s="136">
        <f>SUMIF('2020 CNESER'!$C$4:$C$77,C23,'2020 CNESER'!$I$4:$I$77)</f>
        <v>1178</v>
      </c>
      <c r="J23" s="136">
        <f t="shared" si="5"/>
        <v>1144.6421675246331</v>
      </c>
      <c r="K23" s="173">
        <v>13201</v>
      </c>
      <c r="L23" s="101">
        <f>(SUMIF('2021 CNESER'!$C$4:$C$76,'2021 CNESER'!$C36,'2021 CNESER'!$K$4:$K$76)-SUMIF('2020 CNESER'!$C$4:$C$76,'2021 CNESER'!$C36,'2020 CNESER'!$L$4:$L$76))/SUMIF('2020 CNESER'!$C$4:$C$76,'2021 CNESER'!$C36,'2020 CNESER'!$L$4:$L$76)</f>
        <v>2.1214290362465024E-2</v>
      </c>
      <c r="M23" s="27">
        <f t="shared" si="0"/>
        <v>6505.1795318536479</v>
      </c>
      <c r="N23" s="212">
        <f t="shared" si="8"/>
        <v>8.6708746877102723</v>
      </c>
      <c r="O23" s="192">
        <f t="shared" si="1"/>
        <v>-41.278637727675687</v>
      </c>
      <c r="P23" s="197">
        <f t="shared" si="2"/>
        <v>256249.7962269038</v>
      </c>
      <c r="Q23" s="218">
        <f t="shared" si="6"/>
        <v>0</v>
      </c>
      <c r="R23" s="197">
        <f t="shared" si="7"/>
        <v>256249.7962269038</v>
      </c>
      <c r="S23" s="138">
        <f t="shared" si="3"/>
        <v>69471.215770398136</v>
      </c>
      <c r="T23" s="96">
        <f t="shared" si="4"/>
        <v>0.92599474526163794</v>
      </c>
      <c r="U23" s="93"/>
      <c r="V23" s="93"/>
      <c r="W23" s="93"/>
      <c r="X23" s="93"/>
      <c r="Y23" s="93"/>
      <c r="Z23" s="93"/>
      <c r="AA23" s="93"/>
      <c r="AB23" s="93"/>
      <c r="AC23" s="93"/>
      <c r="AD23" s="93"/>
      <c r="AE23" s="93"/>
      <c r="AF23" s="93"/>
      <c r="AG23" s="93"/>
      <c r="AH23" s="93"/>
      <c r="AI23" s="93"/>
      <c r="AJ23" s="93"/>
      <c r="AK23" s="93"/>
      <c r="AL23" s="93"/>
      <c r="AM23" s="93"/>
      <c r="AN23" s="93"/>
      <c r="AO23" s="93"/>
      <c r="AP23" s="93"/>
      <c r="AQ23" s="93"/>
      <c r="AR23" s="93"/>
      <c r="AS23" s="93"/>
      <c r="AT23" s="93"/>
      <c r="AU23" s="93"/>
      <c r="AV23" s="93"/>
      <c r="AW23" s="93"/>
      <c r="AX23" s="93"/>
      <c r="AY23" s="93"/>
      <c r="AZ23" s="93"/>
      <c r="BA23" s="93"/>
      <c r="BB23" s="93"/>
      <c r="BC23" s="93"/>
      <c r="BD23" s="93"/>
      <c r="BE23" s="93"/>
      <c r="BF23" s="93"/>
      <c r="BG23" s="93"/>
      <c r="BH23" s="93"/>
      <c r="BI23" s="93"/>
      <c r="BJ23" s="93"/>
      <c r="BK23" s="93"/>
      <c r="BL23" s="93"/>
      <c r="BM23" s="93"/>
      <c r="BN23" s="93"/>
      <c r="BO23" s="93"/>
      <c r="BP23" s="93"/>
      <c r="BQ23" s="93"/>
      <c r="BR23" s="93"/>
      <c r="BS23" s="93"/>
      <c r="BT23" s="93"/>
      <c r="BU23" s="93"/>
      <c r="BV23" s="93"/>
      <c r="BW23" s="93"/>
      <c r="BX23" s="93"/>
      <c r="BY23" s="93"/>
      <c r="BZ23" s="93"/>
      <c r="CA23" s="93"/>
      <c r="CB23" s="93"/>
      <c r="CC23" s="93"/>
      <c r="CD23" s="93"/>
      <c r="CE23" s="93"/>
      <c r="CF23" s="93"/>
      <c r="CG23" s="93"/>
      <c r="CH23" s="93"/>
    </row>
    <row r="24" spans="1:86">
      <c r="A24" s="134" t="s">
        <v>197</v>
      </c>
      <c r="B24" s="135" t="s">
        <v>20</v>
      </c>
      <c r="C24" s="135" t="s">
        <v>35</v>
      </c>
      <c r="D24" s="135" t="s">
        <v>35</v>
      </c>
      <c r="E24" s="207">
        <v>116293994</v>
      </c>
      <c r="F24" s="183">
        <f>(SUMIF(C$4:C$71,C24,E$4:E$71)-SUMIF('2020 CNESER'!C$4:C$71,C24,'2020 CNESER'!E$4:E$71))/SUMIF('2020 CNESER'!C$4:C$71,C24,'2020 CNESER'!E$4:E$71)</f>
        <v>1.0912850595923916E-2</v>
      </c>
      <c r="G24" s="207">
        <v>127272668</v>
      </c>
      <c r="H24" s="183">
        <f>(SUMIF(C$4:C$71,C24,G$4:G$71)-SUMIF('2020 CNESER'!C$4:C$71,C24,'2020 CNESER'!G$4:G$71))/SUMIF('2020 CNESER'!C$4:C$71,C24,'2020 CNESER'!G$4:G$71)</f>
        <v>1.1957441430523366E-2</v>
      </c>
      <c r="I24" s="136">
        <f>SUMIF('2020 CNESER'!$C$4:$C$77,C24,'2020 CNESER'!$I$4:$I$77)</f>
        <v>1616</v>
      </c>
      <c r="J24" s="136">
        <f t="shared" si="5"/>
        <v>1625.5222502954211</v>
      </c>
      <c r="K24" s="173">
        <v>19360</v>
      </c>
      <c r="L24" s="101">
        <f>(SUMIF('2021 CNESER'!$C$4:$C$76,'2021 CNESER'!$C26,'2021 CNESER'!$K$4:$K$76)-SUMIF('2020 CNESER'!$C$4:$C$76,'2021 CNESER'!$C26,'2020 CNESER'!$L$4:$L$76))/SUMIF('2020 CNESER'!$C$4:$C$76,'2021 CNESER'!$C26,'2020 CNESER'!$L$4:$L$76)</f>
        <v>-3.3901842120240555E-2</v>
      </c>
      <c r="M24" s="27">
        <f t="shared" si="0"/>
        <v>6574.0014462809913</v>
      </c>
      <c r="N24" s="212">
        <f t="shared" si="8"/>
        <v>8.3962926151623005</v>
      </c>
      <c r="O24" s="192">
        <f t="shared" si="1"/>
        <v>-7.3783265874371864</v>
      </c>
      <c r="P24" s="198">
        <f t="shared" si="2"/>
        <v>-956587.69889001548</v>
      </c>
      <c r="Q24" s="218">
        <f t="shared" si="6"/>
        <v>0</v>
      </c>
      <c r="R24" s="198">
        <f t="shared" si="7"/>
        <v>0</v>
      </c>
      <c r="S24" s="138">
        <f t="shared" si="3"/>
        <v>71542.542083853245</v>
      </c>
      <c r="T24" s="96">
        <f t="shared" si="4"/>
        <v>0.91373894982699666</v>
      </c>
      <c r="U24" s="93"/>
      <c r="V24" s="93"/>
      <c r="W24" s="93"/>
      <c r="X24" s="93"/>
      <c r="Y24" s="93"/>
      <c r="Z24" s="93"/>
      <c r="AA24" s="93"/>
      <c r="AB24" s="93"/>
      <c r="AC24" s="93"/>
      <c r="AD24" s="93"/>
      <c r="AE24" s="93"/>
      <c r="AF24" s="93"/>
      <c r="AG24" s="93"/>
      <c r="AH24" s="93"/>
      <c r="AI24" s="93"/>
      <c r="AJ24" s="93"/>
      <c r="AK24" s="93"/>
      <c r="AL24" s="93"/>
      <c r="AM24" s="93"/>
      <c r="AN24" s="93"/>
      <c r="AO24" s="93"/>
      <c r="AP24" s="93"/>
      <c r="AQ24" s="93"/>
      <c r="AR24" s="93"/>
      <c r="AS24" s="93"/>
      <c r="AT24" s="93"/>
      <c r="AU24" s="93"/>
      <c r="AV24" s="93"/>
      <c r="AW24" s="93"/>
      <c r="AX24" s="93"/>
      <c r="AY24" s="93"/>
      <c r="AZ24" s="93"/>
      <c r="BA24" s="93"/>
      <c r="BB24" s="93"/>
      <c r="BC24" s="93"/>
      <c r="BD24" s="93"/>
      <c r="BE24" s="93"/>
      <c r="BF24" s="93"/>
      <c r="BG24" s="93"/>
      <c r="BH24" s="93"/>
      <c r="BI24" s="93"/>
      <c r="BJ24" s="93"/>
      <c r="BK24" s="93"/>
      <c r="BL24" s="93"/>
      <c r="BM24" s="93"/>
      <c r="BN24" s="93"/>
      <c r="BO24" s="93"/>
      <c r="BP24" s="93"/>
      <c r="BQ24" s="93"/>
      <c r="BR24" s="93"/>
      <c r="BS24" s="93"/>
      <c r="BT24" s="93"/>
      <c r="BU24" s="93"/>
      <c r="BV24" s="93"/>
      <c r="BW24" s="93"/>
      <c r="BX24" s="93"/>
      <c r="BY24" s="93"/>
      <c r="BZ24" s="93"/>
      <c r="CA24" s="93"/>
      <c r="CB24" s="93"/>
      <c r="CC24" s="93"/>
      <c r="CD24" s="93"/>
      <c r="CE24" s="93"/>
      <c r="CF24" s="93"/>
      <c r="CG24" s="93"/>
      <c r="CH24" s="93"/>
    </row>
    <row r="25" spans="1:86">
      <c r="A25" s="134" t="s">
        <v>197</v>
      </c>
      <c r="B25" s="135" t="s">
        <v>33</v>
      </c>
      <c r="C25" s="135" t="s">
        <v>34</v>
      </c>
      <c r="D25" s="135" t="s">
        <v>34</v>
      </c>
      <c r="E25" s="207">
        <v>441940934</v>
      </c>
      <c r="F25" s="183">
        <f>(SUMIF(C$4:C$71,C25,E$4:E$71)-('2020 CNESER'!E91+SUMIF('2020 CNESER'!C$4:C$71,C25,'2020 CNESER'!E$4:E$71)))/('2020 CNESER'!E91+SUMIF('2020 CNESER'!C$4:C$71,C25,'2020 CNESER'!E$4:E$71))</f>
        <v>1.0161394370501809E-2</v>
      </c>
      <c r="G25" s="207">
        <v>483243159</v>
      </c>
      <c r="H25" s="183">
        <f>(SUMIF(C$4:C$71,C25,G$4:G$71)-('2020 CNESER'!G91+SUMIF('2020 CNESER'!C$4:C$71,C25,'2020 CNESER'!G$4:G$71)))/('2020 CNESER'!G91+SUMIF('2020 CNESER'!C$4:C$71,C25,'2020 CNESER'!G$4:G$71))</f>
        <v>1.2192353629226898E-2</v>
      </c>
      <c r="I25" s="136">
        <f>SUMIF('2020 CNESER'!$C$4:$C$77,C25,'2020 CNESER'!$I$4:$I$77)</f>
        <v>5843</v>
      </c>
      <c r="J25" s="136">
        <f t="shared" si="5"/>
        <v>5873.6515085806986</v>
      </c>
      <c r="K25" s="173">
        <v>73161</v>
      </c>
      <c r="L25" s="101">
        <f>(SUMIF('2021 CNESER'!$C$4:$C$76,'2021 CNESER'!$C15,'2021 CNESER'!$K$4:$K$76)-SUMIF('2020 CNESER'!$C$4:$C$76,'2021 CNESER'!$C15,'2020 CNESER'!$L$4:$L$76))/SUMIF('2020 CNESER'!$C$4:$C$76,'2021 CNESER'!$C15,'2020 CNESER'!$L$4:$L$76)</f>
        <v>2.9954676555418211E-2</v>
      </c>
      <c r="M25" s="27">
        <f t="shared" si="0"/>
        <v>6605.2016648214212</v>
      </c>
      <c r="N25" s="212">
        <f t="shared" si="8"/>
        <v>8.0283915044637144</v>
      </c>
      <c r="O25" s="199">
        <f t="shared" si="1"/>
        <v>241.27760311350721</v>
      </c>
      <c r="P25" s="198">
        <f t="shared" si="2"/>
        <v>-5897562.3621122241</v>
      </c>
      <c r="Q25" s="217">
        <f t="shared" si="6"/>
        <v>14476656.186810432</v>
      </c>
      <c r="R25" s="198">
        <f t="shared" si="7"/>
        <v>0</v>
      </c>
      <c r="S25" s="138">
        <f t="shared" si="3"/>
        <v>75241.25892630461</v>
      </c>
      <c r="T25" s="96">
        <f t="shared" si="4"/>
        <v>0.91453117497727476</v>
      </c>
      <c r="U25" s="93"/>
      <c r="V25" s="93"/>
      <c r="W25" s="93"/>
      <c r="X25" s="93"/>
      <c r="Y25" s="93"/>
      <c r="Z25" s="93"/>
      <c r="AA25" s="93"/>
      <c r="AB25" s="93"/>
      <c r="AC25" s="93"/>
      <c r="AD25" s="93"/>
      <c r="AE25" s="93"/>
      <c r="AF25" s="93"/>
      <c r="AG25" s="93"/>
      <c r="AH25" s="93"/>
      <c r="AI25" s="93"/>
      <c r="AJ25" s="93"/>
      <c r="AK25" s="93"/>
      <c r="AL25" s="93"/>
      <c r="AM25" s="93"/>
      <c r="AN25" s="93"/>
      <c r="AO25" s="93"/>
      <c r="AP25" s="93"/>
      <c r="AQ25" s="93"/>
      <c r="AR25" s="93"/>
      <c r="AS25" s="93"/>
      <c r="AT25" s="93"/>
      <c r="AU25" s="93"/>
      <c r="AV25" s="93"/>
      <c r="AW25" s="93"/>
      <c r="AX25" s="93"/>
      <c r="AY25" s="93"/>
      <c r="AZ25" s="93"/>
      <c r="BA25" s="93"/>
      <c r="BB25" s="93"/>
      <c r="BC25" s="93"/>
      <c r="BD25" s="93"/>
      <c r="BE25" s="93"/>
      <c r="BF25" s="93"/>
      <c r="BG25" s="93"/>
      <c r="BH25" s="93"/>
      <c r="BI25" s="93"/>
      <c r="BJ25" s="93"/>
      <c r="BK25" s="93"/>
      <c r="BL25" s="93"/>
      <c r="BM25" s="93"/>
      <c r="BN25" s="93"/>
      <c r="BO25" s="93"/>
      <c r="BP25" s="93"/>
      <c r="BQ25" s="93"/>
      <c r="BR25" s="93"/>
      <c r="BS25" s="93"/>
      <c r="BT25" s="93"/>
      <c r="BU25" s="93"/>
      <c r="BV25" s="93"/>
      <c r="BW25" s="93"/>
      <c r="BX25" s="93"/>
      <c r="BY25" s="93"/>
      <c r="BZ25" s="93"/>
      <c r="CA25" s="93"/>
      <c r="CB25" s="93"/>
      <c r="CC25" s="93"/>
      <c r="CD25" s="93"/>
      <c r="CE25" s="93"/>
      <c r="CF25" s="93"/>
      <c r="CG25" s="93"/>
      <c r="CH25" s="93"/>
    </row>
    <row r="26" spans="1:86">
      <c r="A26" s="134" t="s">
        <v>197</v>
      </c>
      <c r="B26" s="135" t="s">
        <v>13</v>
      </c>
      <c r="C26" s="135" t="s">
        <v>14</v>
      </c>
      <c r="D26" s="135" t="s">
        <v>14</v>
      </c>
      <c r="E26" s="207">
        <v>307541952</v>
      </c>
      <c r="F26" s="183">
        <f>(SUMIF(C$4:C$71,C26,E$4:E$71)-SUMIF('2020 CNESER'!C$4:C$71,C26,'2020 CNESER'!E$4:E$71))/SUMIF('2020 CNESER'!C$4:C$71,C26,'2020 CNESER'!E$4:E$71)</f>
        <v>1.1178062937270951E-2</v>
      </c>
      <c r="G26" s="207">
        <v>340105759</v>
      </c>
      <c r="H26" s="183">
        <f>(SUMIF(C$4:C$71,C26,G$4:G$71)-SUMIF('2020 CNESER'!C$4:C$71,C26,'2020 CNESER'!G$4:G$71))/SUMIF('2020 CNESER'!C$4:C$71,C26,'2020 CNESER'!G$4:G$71)</f>
        <v>1.0742263859633986E-2</v>
      </c>
      <c r="I26" s="136">
        <f>SUMIF('2020 CNESER'!$C$4:$C$77,C26,'2020 CNESER'!$I$4:$I$77)</f>
        <v>4468</v>
      </c>
      <c r="J26" s="136">
        <f t="shared" si="5"/>
        <v>4494.541193055119</v>
      </c>
      <c r="K26" s="173">
        <v>50924</v>
      </c>
      <c r="L26" s="101">
        <f>(SUMIF('2021 CNESER'!$C$4:$C$76,'2021 CNESER'!$C13,'2021 CNESER'!$K$4:$K$76)-SUMIF('2020 CNESER'!$C$4:$C$76,'2021 CNESER'!$C13,'2020 CNESER'!$L$4:$L$76))/SUMIF('2020 CNESER'!$C$4:$C$76,'2021 CNESER'!$C13,'2020 CNESER'!$L$4:$L$76)</f>
        <v>4.2773923288388534E-2</v>
      </c>
      <c r="M26" s="27">
        <f t="shared" si="0"/>
        <v>6678.6929345691615</v>
      </c>
      <c r="N26" s="212">
        <f t="shared" si="8"/>
        <v>8.8259783069969338</v>
      </c>
      <c r="O26" s="192">
        <f t="shared" si="1"/>
        <v>-238.2208846405847</v>
      </c>
      <c r="P26" s="198">
        <f t="shared" si="2"/>
        <v>-7847490.7534233332</v>
      </c>
      <c r="Q26" s="218">
        <f t="shared" si="6"/>
        <v>0</v>
      </c>
      <c r="R26" s="198">
        <f t="shared" si="7"/>
        <v>0</v>
      </c>
      <c r="S26" s="138">
        <f t="shared" si="3"/>
        <v>68425.660994098362</v>
      </c>
      <c r="T26" s="96">
        <f t="shared" si="4"/>
        <v>0.9042538794528322</v>
      </c>
      <c r="U26" s="93"/>
      <c r="V26" s="93"/>
      <c r="W26" s="93"/>
      <c r="X26" s="93"/>
      <c r="Y26" s="93"/>
      <c r="Z26" s="93"/>
      <c r="AA26" s="93"/>
      <c r="AB26" s="93"/>
      <c r="AC26" s="93"/>
      <c r="AD26" s="93"/>
      <c r="AE26" s="93"/>
      <c r="AF26" s="93"/>
      <c r="AG26" s="93"/>
      <c r="AH26" s="93"/>
      <c r="AI26" s="93"/>
      <c r="AJ26" s="93"/>
      <c r="AK26" s="93"/>
      <c r="AL26" s="93"/>
      <c r="AM26" s="93"/>
      <c r="AN26" s="93"/>
      <c r="AO26" s="93"/>
      <c r="AP26" s="93"/>
      <c r="AQ26" s="93"/>
      <c r="AR26" s="93"/>
      <c r="AS26" s="93"/>
      <c r="AT26" s="93"/>
      <c r="AU26" s="93"/>
      <c r="AV26" s="93"/>
      <c r="AW26" s="93"/>
      <c r="AX26" s="93"/>
      <c r="AY26" s="93"/>
      <c r="AZ26" s="93"/>
      <c r="BA26" s="93"/>
      <c r="BB26" s="93"/>
      <c r="BC26" s="93"/>
      <c r="BD26" s="93"/>
      <c r="BE26" s="93"/>
      <c r="BF26" s="93"/>
      <c r="BG26" s="93"/>
      <c r="BH26" s="93"/>
      <c r="BI26" s="93"/>
      <c r="BJ26" s="93"/>
      <c r="BK26" s="93"/>
      <c r="BL26" s="93"/>
      <c r="BM26" s="93"/>
      <c r="BN26" s="93"/>
      <c r="BO26" s="93"/>
      <c r="BP26" s="93"/>
      <c r="BQ26" s="93"/>
      <c r="BR26" s="93"/>
      <c r="BS26" s="93"/>
      <c r="BT26" s="93"/>
      <c r="BU26" s="93"/>
      <c r="BV26" s="93"/>
      <c r="BW26" s="93"/>
      <c r="BX26" s="93"/>
      <c r="BY26" s="93"/>
      <c r="BZ26" s="93"/>
      <c r="CA26" s="93"/>
      <c r="CB26" s="93"/>
      <c r="CC26" s="93"/>
      <c r="CD26" s="93"/>
      <c r="CE26" s="93"/>
      <c r="CF26" s="93"/>
      <c r="CG26" s="93"/>
      <c r="CH26" s="93"/>
    </row>
    <row r="27" spans="1:86">
      <c r="A27" s="134" t="s">
        <v>197</v>
      </c>
      <c r="B27" s="135" t="s">
        <v>20</v>
      </c>
      <c r="C27" s="135" t="s">
        <v>21</v>
      </c>
      <c r="D27" s="135" t="s">
        <v>249</v>
      </c>
      <c r="E27" s="207">
        <v>216006615</v>
      </c>
      <c r="F27" s="183">
        <f>(SUMIF(C$4:C$71,C27,E$4:E$71)-SUMIF('2020 CNESER'!C$4:C$71,C27,'2020 CNESER'!E$4:E$71))/SUMIF('2020 CNESER'!C$4:C$71,C27,'2020 CNESER'!E$4:E$71)</f>
        <v>1.1122574102178503E-2</v>
      </c>
      <c r="G27" s="207">
        <v>242333732</v>
      </c>
      <c r="H27" s="183">
        <f>(SUMIF(C$4:C$71,C27,G$4:G$71)-SUMIF('2020 CNESER'!C$4:C$71,C27,'2020 CNESER'!G$4:G$71))/SUMIF('2020 CNESER'!C$4:C$71,C27,'2020 CNESER'!G$4:G$71)</f>
        <v>8.9643307811032736E-3</v>
      </c>
      <c r="I27" s="136">
        <f>SUMIF('2020 CNESER'!$C$4:$C$77,C27,'2020 CNESER'!$I$4:$I$77)</f>
        <v>3025</v>
      </c>
      <c r="J27" s="136">
        <f t="shared" si="5"/>
        <v>3043.4418315316375</v>
      </c>
      <c r="K27" s="173">
        <v>36162</v>
      </c>
      <c r="L27" s="101">
        <f>(SUMIF('2021 CNESER'!$C$4:$C$76,'2021 CNESER'!$C23,'2021 CNESER'!$K$4:$K$76)-SUMIF('2020 CNESER'!$C$4:$C$76,'2021 CNESER'!$C23,'2020 CNESER'!$L$4:$L$76))/SUMIF('2020 CNESER'!$C$4:$C$76,'2021 CNESER'!$C23,'2020 CNESER'!$L$4:$L$76)</f>
        <v>-1.4409437061370763E-2</v>
      </c>
      <c r="M27" s="27">
        <f t="shared" si="0"/>
        <v>6701.3365411205132</v>
      </c>
      <c r="N27" s="212">
        <f t="shared" si="8"/>
        <v>8.4161324913766862</v>
      </c>
      <c r="O27" s="192">
        <f t="shared" si="1"/>
        <v>-20.9562649444415</v>
      </c>
      <c r="P27" s="198">
        <f t="shared" si="2"/>
        <v>-6391474.9830196798</v>
      </c>
      <c r="Q27" s="218">
        <f t="shared" si="6"/>
        <v>0</v>
      </c>
      <c r="R27" s="198">
        <f t="shared" si="7"/>
        <v>0</v>
      </c>
      <c r="S27" s="138">
        <f t="shared" si="3"/>
        <v>70974.451610035496</v>
      </c>
      <c r="T27" s="96">
        <f t="shared" si="4"/>
        <v>0.89136008106374565</v>
      </c>
      <c r="U27" s="93"/>
      <c r="V27" s="93"/>
      <c r="W27" s="93"/>
      <c r="X27" s="93"/>
      <c r="Y27" s="93"/>
      <c r="Z27" s="93"/>
      <c r="AA27" s="93"/>
      <c r="AB27" s="93"/>
      <c r="AC27" s="93"/>
      <c r="AD27" s="93"/>
      <c r="AE27" s="93"/>
      <c r="AF27" s="93"/>
      <c r="AG27" s="93"/>
      <c r="AH27" s="93"/>
      <c r="AI27" s="93"/>
      <c r="AJ27" s="93"/>
      <c r="AK27" s="93"/>
      <c r="AL27" s="93"/>
      <c r="AM27" s="93"/>
      <c r="AN27" s="93"/>
      <c r="AO27" s="93"/>
      <c r="AP27" s="93"/>
      <c r="AQ27" s="93"/>
      <c r="AR27" s="93"/>
      <c r="AS27" s="93"/>
      <c r="AT27" s="93"/>
      <c r="AU27" s="93"/>
      <c r="AV27" s="93"/>
      <c r="AW27" s="93"/>
      <c r="AX27" s="93"/>
      <c r="AY27" s="93"/>
      <c r="AZ27" s="93"/>
      <c r="BA27" s="93"/>
      <c r="BB27" s="93"/>
      <c r="BC27" s="93"/>
      <c r="BD27" s="93"/>
      <c r="BE27" s="93"/>
      <c r="BF27" s="93"/>
      <c r="BG27" s="93"/>
      <c r="BH27" s="93"/>
      <c r="BI27" s="93"/>
      <c r="BJ27" s="93"/>
      <c r="BK27" s="93"/>
      <c r="BL27" s="93"/>
      <c r="BM27" s="93"/>
      <c r="BN27" s="93"/>
      <c r="BO27" s="93"/>
      <c r="BP27" s="93"/>
      <c r="BQ27" s="93"/>
      <c r="BR27" s="93"/>
      <c r="BS27" s="93"/>
      <c r="BT27" s="93"/>
      <c r="BU27" s="93"/>
      <c r="BV27" s="93"/>
      <c r="BW27" s="93"/>
      <c r="BX27" s="93"/>
      <c r="BY27" s="93"/>
      <c r="BZ27" s="93"/>
      <c r="CA27" s="93"/>
      <c r="CB27" s="93"/>
      <c r="CC27" s="93"/>
      <c r="CD27" s="93"/>
      <c r="CE27" s="93"/>
      <c r="CF27" s="93"/>
      <c r="CG27" s="93"/>
      <c r="CH27" s="93"/>
    </row>
    <row r="28" spans="1:86">
      <c r="A28" s="134" t="s">
        <v>197</v>
      </c>
      <c r="B28" s="135" t="s">
        <v>6</v>
      </c>
      <c r="C28" s="135" t="s">
        <v>49</v>
      </c>
      <c r="D28" s="135" t="s">
        <v>49</v>
      </c>
      <c r="E28" s="207">
        <v>177369492</v>
      </c>
      <c r="F28" s="183">
        <f>(SUMIF(C$4:C$71,C28,E$4:E$71)-SUMIF('2020 CNESER'!C$4:C$71,C28,'2020 CNESER'!E$4:E$71))/SUMIF('2020 CNESER'!C$4:C$71,C28,'2020 CNESER'!E$4:E$71)</f>
        <v>1.4449666371674512E-2</v>
      </c>
      <c r="G28" s="207">
        <v>206148584</v>
      </c>
      <c r="H28" s="183">
        <f>(SUMIF(C$4:C$71,C28,G$4:G$71)-SUMIF('2020 CNESER'!C$4:C$71,C28,'2020 CNESER'!G$4:G$71))/SUMIF('2020 CNESER'!C$4:C$71,C28,'2020 CNESER'!G$4:G$71)</f>
        <v>1.2312475621344627E-2</v>
      </c>
      <c r="I28" s="136">
        <f>SUMIF('2020 CNESER'!$C$4:$C$77,C28,'2020 CNESER'!$I$4:$I$77)</f>
        <v>2596</v>
      </c>
      <c r="J28" s="136">
        <f t="shared" si="5"/>
        <v>2620.9785505318901</v>
      </c>
      <c r="K28" s="173">
        <v>29748</v>
      </c>
      <c r="L28" s="101">
        <f>(SUMIF('2021 CNESER'!$C$4:$C$76,'2021 CNESER'!$C29,'2021 CNESER'!$K$4:$K$76)-SUMIF('2020 CNESER'!$C$4:$C$76,'2021 CNESER'!$C29,'2020 CNESER'!$L$4:$L$76))/SUMIF('2020 CNESER'!$C$4:$C$76,'2021 CNESER'!$C29,'2020 CNESER'!$L$4:$L$76)</f>
        <v>9.3301021291327682E-2</v>
      </c>
      <c r="M28" s="27">
        <f t="shared" si="0"/>
        <v>6929.8300389942178</v>
      </c>
      <c r="N28" s="212">
        <f>I28/K28*100</f>
        <v>8.7266370848460397</v>
      </c>
      <c r="O28" s="192">
        <f t="shared" si="1"/>
        <v>-134.58674048720468</v>
      </c>
      <c r="P28" s="198">
        <f t="shared" si="2"/>
        <v>-12055053.173687011</v>
      </c>
      <c r="Q28" s="218">
        <f t="shared" si="6"/>
        <v>0</v>
      </c>
      <c r="R28" s="198">
        <f t="shared" si="7"/>
        <v>0</v>
      </c>
      <c r="S28" s="138">
        <f t="shared" si="3"/>
        <v>67673.004025158996</v>
      </c>
      <c r="T28" s="96">
        <f t="shared" si="4"/>
        <v>0.86039636343075732</v>
      </c>
      <c r="U28" s="93"/>
      <c r="V28" s="93"/>
      <c r="W28" s="93"/>
      <c r="X28" s="93"/>
      <c r="Y28" s="93"/>
      <c r="Z28" s="93"/>
      <c r="AA28" s="93"/>
      <c r="AB28" s="93"/>
      <c r="AC28" s="93"/>
      <c r="AD28" s="93"/>
      <c r="AE28" s="93"/>
      <c r="AF28" s="93"/>
      <c r="AG28" s="93"/>
      <c r="AH28" s="93"/>
      <c r="AI28" s="93"/>
      <c r="AJ28" s="93"/>
      <c r="AK28" s="93"/>
      <c r="AL28" s="93"/>
      <c r="AM28" s="93"/>
      <c r="AN28" s="93"/>
      <c r="AO28" s="93"/>
      <c r="AP28" s="93"/>
      <c r="AQ28" s="93"/>
      <c r="AR28" s="93"/>
      <c r="AS28" s="93"/>
      <c r="AT28" s="93"/>
      <c r="AU28" s="93"/>
      <c r="AV28" s="93"/>
      <c r="AW28" s="93"/>
      <c r="AX28" s="93"/>
      <c r="AY28" s="93"/>
      <c r="AZ28" s="93"/>
      <c r="BA28" s="93"/>
      <c r="BB28" s="93"/>
      <c r="BC28" s="93"/>
      <c r="BD28" s="93"/>
      <c r="BE28" s="93"/>
      <c r="BF28" s="93"/>
      <c r="BG28" s="93"/>
      <c r="BH28" s="93"/>
      <c r="BI28" s="93"/>
      <c r="BJ28" s="93"/>
      <c r="BK28" s="93"/>
      <c r="BL28" s="93"/>
      <c r="BM28" s="93"/>
      <c r="BN28" s="93"/>
      <c r="BO28" s="93"/>
      <c r="BP28" s="93"/>
      <c r="BQ28" s="93"/>
      <c r="BR28" s="93"/>
      <c r="BS28" s="93"/>
      <c r="BT28" s="93"/>
      <c r="BU28" s="93"/>
      <c r="BV28" s="93"/>
      <c r="BW28" s="93"/>
      <c r="BX28" s="93"/>
      <c r="BY28" s="93"/>
      <c r="BZ28" s="93"/>
      <c r="CA28" s="93"/>
      <c r="CB28" s="93"/>
      <c r="CC28" s="93"/>
      <c r="CD28" s="93"/>
      <c r="CE28" s="93"/>
      <c r="CF28" s="93"/>
      <c r="CG28" s="93"/>
      <c r="CH28" s="93"/>
    </row>
    <row r="29" spans="1:86">
      <c r="A29" s="134" t="s">
        <v>197</v>
      </c>
      <c r="B29" s="135" t="s">
        <v>8</v>
      </c>
      <c r="C29" s="135" t="s">
        <v>9</v>
      </c>
      <c r="D29" s="135" t="s">
        <v>244</v>
      </c>
      <c r="E29" s="207">
        <v>81464879</v>
      </c>
      <c r="F29" s="183">
        <f>(SUMIF(C$4:C$71,C29,E$4:E$71)-SUMIF('2020 CNESER'!C$4:C$71,C29,'2020 CNESER'!E$4:E$71))/SUMIF('2020 CNESER'!C$4:C$71,C29,'2020 CNESER'!E$4:E$71)</f>
        <v>1.5390458002788755E-2</v>
      </c>
      <c r="G29" s="207">
        <v>87816889</v>
      </c>
      <c r="H29" s="183">
        <f>(SUMIF(C$4:C$71,C29,G$4:G$71)-SUMIF('2020 CNESER'!C$4:C$71,C29,'2020 CNESER'!G$4:G$71))/SUMIF('2020 CNESER'!C$4:C$71,C29,'2020 CNESER'!G$4:G$71)</f>
        <v>1.4591936354109982E-2</v>
      </c>
      <c r="I29" s="136">
        <f>SUMIF('2020 CNESER'!$C$4:$C$77,C29,'2020 CNESER'!$I$4:$I$77)</f>
        <v>971</v>
      </c>
      <c r="J29" s="136">
        <f t="shared" si="5"/>
        <v>983.74987541586279</v>
      </c>
      <c r="K29" s="173">
        <v>12632</v>
      </c>
      <c r="L29" s="101">
        <f>(SUMIF('2021 CNESER'!$C$4:$C$76,'2021 CNESER'!$C30,'2021 CNESER'!$K$4:$K$76)-SUMIF('2020 CNESER'!$C$4:$C$76,'2021 CNESER'!$C30,'2020 CNESER'!$L$4:$L$76))/SUMIF('2020 CNESER'!$C$4:$C$76,'2021 CNESER'!$C30,'2020 CNESER'!$L$4:$L$76)</f>
        <v>2.5714245123527824E-2</v>
      </c>
      <c r="M29" s="27">
        <f t="shared" si="0"/>
        <v>6951.9386478784045</v>
      </c>
      <c r="N29" s="212">
        <f>J29/K29*100</f>
        <v>7.7877602550337457</v>
      </c>
      <c r="O29" s="199">
        <f t="shared" si="1"/>
        <v>72.055602077900176</v>
      </c>
      <c r="P29" s="198">
        <f t="shared" si="2"/>
        <v>-5398256.4398956001</v>
      </c>
      <c r="Q29" s="217">
        <f t="shared" si="6"/>
        <v>4323336.1246740101</v>
      </c>
      <c r="R29" s="198">
        <f t="shared" si="7"/>
        <v>0</v>
      </c>
      <c r="S29" s="138">
        <f t="shared" si="3"/>
        <v>82810.560932027744</v>
      </c>
      <c r="T29" s="96">
        <f t="shared" si="4"/>
        <v>0.92766755834404468</v>
      </c>
      <c r="U29" s="93"/>
      <c r="V29" s="93"/>
      <c r="W29" s="93"/>
      <c r="X29" s="93"/>
      <c r="Y29" s="93"/>
      <c r="Z29" s="93"/>
      <c r="AA29" s="93"/>
      <c r="AB29" s="93"/>
      <c r="AC29" s="93"/>
      <c r="AD29" s="93"/>
      <c r="AE29" s="93"/>
      <c r="AF29" s="93"/>
      <c r="AG29" s="93"/>
      <c r="AH29" s="93"/>
      <c r="AI29" s="93"/>
      <c r="AJ29" s="93"/>
      <c r="AK29" s="93"/>
      <c r="AL29" s="93"/>
      <c r="AM29" s="93"/>
      <c r="AN29" s="93"/>
      <c r="AO29" s="93"/>
      <c r="AP29" s="93"/>
      <c r="AQ29" s="93"/>
      <c r="AR29" s="93"/>
      <c r="AS29" s="93"/>
      <c r="AT29" s="93"/>
      <c r="AU29" s="93"/>
      <c r="AV29" s="93"/>
      <c r="AW29" s="93"/>
      <c r="AX29" s="93"/>
      <c r="AY29" s="93"/>
      <c r="AZ29" s="93"/>
      <c r="BA29" s="93"/>
      <c r="BB29" s="93"/>
      <c r="BC29" s="93"/>
      <c r="BD29" s="93"/>
      <c r="BE29" s="93"/>
      <c r="BF29" s="93"/>
      <c r="BG29" s="93"/>
      <c r="BH29" s="93"/>
      <c r="BI29" s="93"/>
      <c r="BJ29" s="93"/>
      <c r="BK29" s="93"/>
      <c r="BL29" s="93"/>
      <c r="BM29" s="93"/>
      <c r="BN29" s="93"/>
      <c r="BO29" s="93"/>
      <c r="BP29" s="93"/>
      <c r="BQ29" s="93"/>
      <c r="BR29" s="93"/>
      <c r="BS29" s="93"/>
      <c r="BT29" s="93"/>
      <c r="BU29" s="93"/>
      <c r="BV29" s="93"/>
      <c r="BW29" s="93"/>
      <c r="BX29" s="93"/>
      <c r="BY29" s="93"/>
      <c r="BZ29" s="93"/>
      <c r="CA29" s="93"/>
      <c r="CB29" s="93"/>
      <c r="CC29" s="93"/>
      <c r="CD29" s="93"/>
      <c r="CE29" s="93"/>
      <c r="CF29" s="93"/>
      <c r="CG29" s="93"/>
      <c r="CH29" s="93"/>
    </row>
    <row r="30" spans="1:86">
      <c r="A30" s="134" t="s">
        <v>197</v>
      </c>
      <c r="B30" s="135" t="s">
        <v>2</v>
      </c>
      <c r="C30" s="135" t="s">
        <v>3</v>
      </c>
      <c r="D30" s="135" t="s">
        <v>3</v>
      </c>
      <c r="E30" s="207">
        <v>469173152</v>
      </c>
      <c r="F30" s="183">
        <f>(SUMIF(C$4:C$71,C30,E$4:E$71)-SUMIF('2020 CNESER'!C$4:C$71,C30,'2020 CNESER'!E$4:E$71))/SUMIF('2020 CNESER'!C$4:C$71,C30,'2020 CNESER'!E$4:E$71)</f>
        <v>8.9032875186397329E-3</v>
      </c>
      <c r="G30" s="207">
        <v>516127566</v>
      </c>
      <c r="H30" s="183">
        <f>(SUMIF(C$4:C$71,C30,G$4:G$71)-SUMIF('2020 CNESER'!C$4:C$71,C30,'2020 CNESER'!G$4:G$71))/SUMIF('2020 CNESER'!C$4:C$71,C30,'2020 CNESER'!G$4:G$71)</f>
        <v>1.2613583778621791E-2</v>
      </c>
      <c r="I30" s="136">
        <f>SUMIF('2020 CNESER'!$C$4:$C$77,C30,'2020 CNESER'!$I$4:$I$77)</f>
        <v>6722</v>
      </c>
      <c r="J30" s="136">
        <f t="shared" si="5"/>
        <v>6744.7024092713746</v>
      </c>
      <c r="K30" s="173">
        <v>72199</v>
      </c>
      <c r="L30" s="101">
        <f>(SUMIF('2021 CNESER'!$C$4:$C$76,'2021 CNESER'!$C28,'2021 CNESER'!$K$4:$K$76)-SUMIF('2020 CNESER'!$C$4:$C$76,'2021 CNESER'!$C28,'2020 CNESER'!$L$4:$L$76))/SUMIF('2020 CNESER'!$C$4:$C$76,'2021 CNESER'!$C28,'2020 CNESER'!$L$4:$L$76)</f>
        <v>4.2107475653331464E-2</v>
      </c>
      <c r="M30" s="27">
        <f t="shared" si="0"/>
        <v>7148.680258729345</v>
      </c>
      <c r="N30" s="212">
        <f>J30/K30*100</f>
        <v>9.3418224757564161</v>
      </c>
      <c r="O30" s="192">
        <f t="shared" si="1"/>
        <v>-710.17900287712109</v>
      </c>
      <c r="P30" s="198">
        <f t="shared" si="2"/>
        <v>-45058625.831619859</v>
      </c>
      <c r="Q30" s="218">
        <f t="shared" si="6"/>
        <v>0</v>
      </c>
      <c r="R30" s="198">
        <f t="shared" si="7"/>
        <v>0</v>
      </c>
      <c r="S30" s="138">
        <f t="shared" si="3"/>
        <v>69561.72763902336</v>
      </c>
      <c r="T30" s="96">
        <f t="shared" si="4"/>
        <v>0.90902556442800031</v>
      </c>
      <c r="U30" s="93"/>
      <c r="V30" s="93"/>
      <c r="W30" s="93"/>
      <c r="X30" s="93"/>
      <c r="Y30" s="93"/>
      <c r="Z30" s="93"/>
      <c r="AA30" s="93"/>
      <c r="AB30" s="93"/>
      <c r="AC30" s="93"/>
      <c r="AD30" s="93"/>
      <c r="AE30" s="93"/>
      <c r="AF30" s="93"/>
      <c r="AG30" s="93"/>
      <c r="AH30" s="93"/>
      <c r="AI30" s="93"/>
      <c r="AJ30" s="93"/>
      <c r="AK30" s="93"/>
      <c r="AL30" s="93"/>
      <c r="AM30" s="93"/>
      <c r="AN30" s="93"/>
      <c r="AO30" s="93"/>
      <c r="AP30" s="93"/>
      <c r="AQ30" s="93"/>
      <c r="AR30" s="93"/>
      <c r="AS30" s="93"/>
      <c r="AT30" s="93"/>
      <c r="AU30" s="93"/>
      <c r="AV30" s="93"/>
      <c r="AW30" s="93"/>
      <c r="AX30" s="93"/>
      <c r="AY30" s="93"/>
      <c r="AZ30" s="93"/>
      <c r="BA30" s="93"/>
      <c r="BB30" s="93"/>
      <c r="BC30" s="93"/>
      <c r="BD30" s="93"/>
      <c r="BE30" s="93"/>
      <c r="BF30" s="93"/>
      <c r="BG30" s="93"/>
      <c r="BH30" s="93"/>
      <c r="BI30" s="93"/>
      <c r="BJ30" s="93"/>
      <c r="BK30" s="93"/>
      <c r="BL30" s="93"/>
      <c r="BM30" s="93"/>
      <c r="BN30" s="93"/>
      <c r="BO30" s="93"/>
      <c r="BP30" s="93"/>
      <c r="BQ30" s="93"/>
      <c r="BR30" s="93"/>
      <c r="BS30" s="93"/>
      <c r="BT30" s="93"/>
      <c r="BU30" s="93"/>
      <c r="BV30" s="93"/>
      <c r="BW30" s="93"/>
      <c r="BX30" s="93"/>
      <c r="BY30" s="93"/>
      <c r="BZ30" s="93"/>
      <c r="CA30" s="93"/>
      <c r="CB30" s="93"/>
      <c r="CC30" s="93"/>
      <c r="CD30" s="93"/>
      <c r="CE30" s="93"/>
      <c r="CF30" s="93"/>
      <c r="CG30" s="93"/>
      <c r="CH30" s="93"/>
    </row>
    <row r="31" spans="1:86">
      <c r="A31" s="134" t="s">
        <v>197</v>
      </c>
      <c r="B31" s="135" t="s">
        <v>6</v>
      </c>
      <c r="C31" s="135" t="s">
        <v>12</v>
      </c>
      <c r="D31" s="135" t="s">
        <v>245</v>
      </c>
      <c r="E31" s="207">
        <v>155137801</v>
      </c>
      <c r="F31" s="183">
        <f>(SUMIF(C$4:C$71,C31,E$4:E$71)-SUMIF('2020 CNESER'!C$4:C$71,C31,'2020 CNESER'!E$4:E$71))/SUMIF('2020 CNESER'!C$4:C$71,C31,'2020 CNESER'!E$4:E$71)</f>
        <v>9.4542318162061396E-3</v>
      </c>
      <c r="G31" s="207">
        <v>170127600</v>
      </c>
      <c r="H31" s="183">
        <f>(SUMIF(C$4:C$71,C31,G$4:G$71)-SUMIF('2020 CNESER'!C$4:C$71,C31,'2020 CNESER'!G$4:G$71))/SUMIF('2020 CNESER'!C$4:C$71,C31,'2020 CNESER'!G$4:G$71)</f>
        <v>9.3649780155213008E-3</v>
      </c>
      <c r="I31" s="136">
        <f>SUMIF('2020 CNESER'!$C$4:$C$77,C31,'2020 CNESER'!$I$4:$I$77)</f>
        <v>2289</v>
      </c>
      <c r="J31" s="136">
        <f t="shared" si="5"/>
        <v>2297.9313654685075</v>
      </c>
      <c r="K31" s="173">
        <v>23734</v>
      </c>
      <c r="L31" s="101">
        <f>(SUMIF('2021 CNESER'!$C$4:$C$76,'2021 CNESER'!$C22,'2021 CNESER'!$K$4:$K$76)-SUMIF('2020 CNESER'!$C$4:$C$76,'2021 CNESER'!$C22,'2020 CNESER'!$L$4:$L$76))/SUMIF('2020 CNESER'!$C$4:$C$76,'2021 CNESER'!$C22,'2020 CNESER'!$L$4:$L$76)</f>
        <v>-6.7865035585640459E-3</v>
      </c>
      <c r="M31" s="27">
        <f t="shared" si="0"/>
        <v>7168.0964017864662</v>
      </c>
      <c r="N31" s="212">
        <f>J31/K31*100</f>
        <v>9.6820231122798841</v>
      </c>
      <c r="O31" s="192">
        <f t="shared" si="1"/>
        <v>-314.20058626988725</v>
      </c>
      <c r="P31" s="198">
        <f t="shared" si="2"/>
        <v>-15272958.994496673</v>
      </c>
      <c r="Q31" s="218">
        <f t="shared" si="6"/>
        <v>0</v>
      </c>
      <c r="R31" s="198">
        <f t="shared" si="7"/>
        <v>0</v>
      </c>
      <c r="S31" s="138">
        <f t="shared" si="3"/>
        <v>67511.938490108107</v>
      </c>
      <c r="T31" s="96">
        <f t="shared" si="4"/>
        <v>0.9118908454595257</v>
      </c>
      <c r="U31" s="93"/>
      <c r="V31" s="93"/>
      <c r="W31" s="93"/>
      <c r="X31" s="93"/>
      <c r="Y31" s="93"/>
      <c r="Z31" s="93"/>
      <c r="AA31" s="93"/>
      <c r="AB31" s="93"/>
      <c r="AC31" s="93"/>
      <c r="AD31" s="93"/>
      <c r="AE31" s="93"/>
      <c r="AF31" s="93"/>
      <c r="AG31" s="93"/>
      <c r="AH31" s="93"/>
      <c r="AI31" s="93"/>
      <c r="AJ31" s="93"/>
      <c r="AK31" s="93"/>
      <c r="AL31" s="93"/>
      <c r="AM31" s="93"/>
      <c r="AN31" s="93"/>
      <c r="AO31" s="93"/>
      <c r="AP31" s="93"/>
      <c r="AQ31" s="93"/>
      <c r="AR31" s="93"/>
      <c r="AS31" s="93"/>
      <c r="AT31" s="93"/>
      <c r="AU31" s="93"/>
      <c r="AV31" s="93"/>
      <c r="AW31" s="93"/>
      <c r="AX31" s="93"/>
      <c r="AY31" s="93"/>
      <c r="AZ31" s="93"/>
      <c r="BA31" s="93"/>
      <c r="BB31" s="93"/>
      <c r="BC31" s="93"/>
      <c r="BD31" s="93"/>
      <c r="BE31" s="93"/>
      <c r="BF31" s="93"/>
      <c r="BG31" s="93"/>
      <c r="BH31" s="93"/>
      <c r="BI31" s="93"/>
      <c r="BJ31" s="93"/>
      <c r="BK31" s="93"/>
      <c r="BL31" s="93"/>
      <c r="BM31" s="93"/>
      <c r="BN31" s="93"/>
      <c r="BO31" s="93"/>
      <c r="BP31" s="93"/>
      <c r="BQ31" s="93"/>
      <c r="BR31" s="93"/>
      <c r="BS31" s="93"/>
      <c r="BT31" s="93"/>
      <c r="BU31" s="93"/>
      <c r="BV31" s="93"/>
      <c r="BW31" s="93"/>
      <c r="BX31" s="93"/>
      <c r="BY31" s="93"/>
      <c r="BZ31" s="93"/>
      <c r="CA31" s="93"/>
      <c r="CB31" s="93"/>
      <c r="CC31" s="93"/>
      <c r="CD31" s="93"/>
      <c r="CE31" s="93"/>
      <c r="CF31" s="93"/>
      <c r="CG31" s="93"/>
      <c r="CH31" s="93"/>
    </row>
    <row r="32" spans="1:86">
      <c r="A32" s="134" t="s">
        <v>197</v>
      </c>
      <c r="B32" s="135" t="s">
        <v>37</v>
      </c>
      <c r="C32" s="135" t="s">
        <v>38</v>
      </c>
      <c r="D32" s="135" t="s">
        <v>251</v>
      </c>
      <c r="E32" s="207">
        <v>445959223</v>
      </c>
      <c r="F32" s="183">
        <f>(SUMIF(C$4:C$71,C32,E$4:E$71)-SUMIF('2020 CNESER'!C$4:C$71,C32,'2020 CNESER'!E$4:E$71))/SUMIF('2020 CNESER'!C$4:C$71,C32,'2020 CNESER'!E$4:E$71)</f>
        <v>8.3103835828659441E-3</v>
      </c>
      <c r="G32" s="207">
        <v>489299978</v>
      </c>
      <c r="H32" s="183">
        <f>(SUMIF(C$4:C$71,C32,G$4:G$71)-SUMIF('2020 CNESER'!C$4:C$71,C32,'2020 CNESER'!G$4:G$71))/SUMIF('2020 CNESER'!C$4:C$71,C32,'2020 CNESER'!G$4:G$71)</f>
        <v>7.2320126335595784E-3</v>
      </c>
      <c r="I32" s="136">
        <f>SUMIF('2020 CNESER'!$C$4:$C$77,C32,'2020 CNESER'!$I$4:$I$77)</f>
        <v>6207</v>
      </c>
      <c r="J32" s="136">
        <f t="shared" si="5"/>
        <v>6224.1722811241143</v>
      </c>
      <c r="K32" s="173">
        <v>66703</v>
      </c>
      <c r="L32" s="101">
        <f>(SUMIF('2021 CNESER'!$C$4:$C$76,'2021 CNESER'!$C31,'2021 CNESER'!$K$4:$K$76)-SUMIF('2020 CNESER'!$C$4:$C$76,'2021 CNESER'!$C31,'2020 CNESER'!$L$4:$L$76))/SUMIF('2020 CNESER'!$C$4:$C$76,'2021 CNESER'!$C31,'2020 CNESER'!$L$4:$L$76)</f>
        <v>2.4651383672235894E-2</v>
      </c>
      <c r="M32" s="27">
        <f t="shared" si="0"/>
        <v>7335.5018215072787</v>
      </c>
      <c r="N32" s="212">
        <f>I32/K32*100</f>
        <v>9.3054285414449129</v>
      </c>
      <c r="O32" s="192">
        <f t="shared" si="1"/>
        <v>-649.01452579902889</v>
      </c>
      <c r="P32" s="198">
        <f t="shared" si="2"/>
        <v>-54090189.553463876</v>
      </c>
      <c r="Q32" s="218">
        <f t="shared" si="6"/>
        <v>0</v>
      </c>
      <c r="R32" s="198">
        <f t="shared" si="7"/>
        <v>0</v>
      </c>
      <c r="S32" s="138">
        <f t="shared" si="3"/>
        <v>71649.562842668893</v>
      </c>
      <c r="T32" s="96">
        <f t="shared" si="4"/>
        <v>0.91142293695341225</v>
      </c>
      <c r="U32" s="93"/>
      <c r="V32" s="93"/>
      <c r="W32" s="93"/>
      <c r="X32" s="93"/>
      <c r="Y32" s="93"/>
      <c r="Z32" s="93"/>
      <c r="AA32" s="93"/>
      <c r="AB32" s="93"/>
      <c r="AC32" s="93"/>
      <c r="AD32" s="93"/>
      <c r="AE32" s="93"/>
      <c r="AF32" s="93"/>
      <c r="AG32" s="93"/>
      <c r="AH32" s="93"/>
      <c r="AI32" s="93"/>
      <c r="AJ32" s="93"/>
      <c r="AK32" s="93"/>
      <c r="AL32" s="93"/>
      <c r="AM32" s="93"/>
      <c r="AN32" s="93"/>
      <c r="AO32" s="93"/>
      <c r="AP32" s="93"/>
      <c r="AQ32" s="93"/>
      <c r="AR32" s="93"/>
      <c r="AS32" s="93"/>
      <c r="AT32" s="93"/>
      <c r="AU32" s="93"/>
      <c r="AV32" s="93"/>
      <c r="AW32" s="93"/>
      <c r="AX32" s="93"/>
      <c r="AY32" s="93"/>
      <c r="AZ32" s="93"/>
      <c r="BA32" s="93"/>
      <c r="BB32" s="93"/>
      <c r="BC32" s="93"/>
      <c r="BD32" s="93"/>
      <c r="BE32" s="93"/>
      <c r="BF32" s="93"/>
      <c r="BG32" s="93"/>
      <c r="BH32" s="93"/>
      <c r="BI32" s="93"/>
      <c r="BJ32" s="93"/>
      <c r="BK32" s="93"/>
      <c r="BL32" s="93"/>
      <c r="BM32" s="93"/>
      <c r="BN32" s="93"/>
      <c r="BO32" s="93"/>
      <c r="BP32" s="93"/>
      <c r="BQ32" s="93"/>
      <c r="BR32" s="93"/>
      <c r="BS32" s="93"/>
      <c r="BT32" s="93"/>
      <c r="BU32" s="93"/>
      <c r="BV32" s="93"/>
      <c r="BW32" s="93"/>
      <c r="BX32" s="93"/>
      <c r="BY32" s="93"/>
      <c r="BZ32" s="93"/>
      <c r="CA32" s="93"/>
      <c r="CB32" s="93"/>
      <c r="CC32" s="93"/>
      <c r="CD32" s="93"/>
      <c r="CE32" s="93"/>
      <c r="CF32" s="93"/>
      <c r="CG32" s="93"/>
      <c r="CH32" s="93"/>
    </row>
    <row r="33" spans="1:86">
      <c r="A33" s="134" t="s">
        <v>197</v>
      </c>
      <c r="B33" s="135" t="s">
        <v>6</v>
      </c>
      <c r="C33" s="135" t="s">
        <v>60</v>
      </c>
      <c r="D33" s="135" t="s">
        <v>247</v>
      </c>
      <c r="E33" s="207">
        <v>103318943</v>
      </c>
      <c r="F33" s="183">
        <f>(SUMIF(C$4:C$71,C33,E$4:E$71)-SUMIF('2020 CNESER'!C$4:C$71,C33,'2020 CNESER'!E$4:E$71))/SUMIF('2020 CNESER'!C$4:C$71,C33,'2020 CNESER'!E$4:E$71)</f>
        <v>7.9672175112974319E-3</v>
      </c>
      <c r="G33" s="207">
        <v>113498861</v>
      </c>
      <c r="H33" s="183">
        <f>(SUMIF(C$4:C$71,C33,G$4:G$71)-SUMIF('2020 CNESER'!C$4:C$71,C33,'2020 CNESER'!G$4:G$71))/SUMIF('2020 CNESER'!C$4:C$71,C33,'2020 CNESER'!G$4:G$71)</f>
        <v>9.1129055482091111E-3</v>
      </c>
      <c r="I33" s="136">
        <f>SUMIF('2020 CNESER'!$C$4:$C$77,C33,'2020 CNESER'!$I$4:$I$77)</f>
        <v>1413</v>
      </c>
      <c r="J33" s="136">
        <f t="shared" si="5"/>
        <v>1416.3875138986391</v>
      </c>
      <c r="K33" s="173">
        <v>15063</v>
      </c>
      <c r="L33" s="101">
        <f>(SUMIF('2021 CNESER'!$C$4:$C$76,'2021 CNESER'!$C24,'2021 CNESER'!$K$4:$K$76)-SUMIF('2020 CNESER'!$C$4:$C$76,'2021 CNESER'!$C24,'2020 CNESER'!$L$4:$L$76))/SUMIF('2020 CNESER'!$C$4:$C$76,'2021 CNESER'!$C24,'2020 CNESER'!$L$4:$L$76)</f>
        <v>2.7110191522096663E-2</v>
      </c>
      <c r="M33" s="27">
        <f t="shared" si="0"/>
        <v>7534.9439686649403</v>
      </c>
      <c r="N33" s="212">
        <f>I33/K33*100</f>
        <v>9.3806014738099979</v>
      </c>
      <c r="O33" s="192">
        <f t="shared" si="1"/>
        <v>-157.39464598472568</v>
      </c>
      <c r="P33" s="198">
        <f t="shared" si="2"/>
        <v>-15218947.902085766</v>
      </c>
      <c r="Q33" s="218">
        <f t="shared" si="6"/>
        <v>0</v>
      </c>
      <c r="R33" s="198">
        <f t="shared" si="7"/>
        <v>0</v>
      </c>
      <c r="S33" s="138">
        <f t="shared" si="3"/>
        <v>72945.392405791717</v>
      </c>
      <c r="T33" s="96">
        <f t="shared" si="4"/>
        <v>0.91030819243199279</v>
      </c>
      <c r="U33" s="93"/>
      <c r="V33" s="93"/>
      <c r="W33" s="93"/>
      <c r="X33" s="93"/>
      <c r="Y33" s="93"/>
      <c r="Z33" s="93"/>
      <c r="AA33" s="93"/>
      <c r="AB33" s="93"/>
      <c r="AC33" s="93"/>
      <c r="AD33" s="93"/>
      <c r="AE33" s="93"/>
      <c r="AF33" s="93"/>
      <c r="AG33" s="93"/>
      <c r="AH33" s="93"/>
      <c r="AI33" s="93"/>
      <c r="AJ33" s="93"/>
      <c r="AK33" s="93"/>
      <c r="AL33" s="93"/>
      <c r="AM33" s="93"/>
      <c r="AN33" s="93"/>
      <c r="AO33" s="93"/>
      <c r="AP33" s="93"/>
      <c r="AQ33" s="93"/>
      <c r="AR33" s="93"/>
      <c r="AS33" s="93"/>
      <c r="AT33" s="93"/>
      <c r="AU33" s="93"/>
      <c r="AV33" s="93"/>
      <c r="AW33" s="93"/>
      <c r="AX33" s="93"/>
      <c r="AY33" s="93"/>
      <c r="AZ33" s="93"/>
      <c r="BA33" s="93"/>
      <c r="BB33" s="93"/>
      <c r="BC33" s="93"/>
      <c r="BD33" s="93"/>
      <c r="BE33" s="93"/>
      <c r="BF33" s="93"/>
      <c r="BG33" s="93"/>
      <c r="BH33" s="93"/>
      <c r="BI33" s="93"/>
      <c r="BJ33" s="93"/>
      <c r="BK33" s="93"/>
      <c r="BL33" s="93"/>
      <c r="BM33" s="93"/>
      <c r="BN33" s="93"/>
      <c r="BO33" s="93"/>
      <c r="BP33" s="93"/>
      <c r="BQ33" s="93"/>
      <c r="BR33" s="93"/>
      <c r="BS33" s="93"/>
      <c r="BT33" s="93"/>
      <c r="BU33" s="93"/>
      <c r="BV33" s="93"/>
      <c r="BW33" s="93"/>
      <c r="BX33" s="93"/>
      <c r="BY33" s="93"/>
      <c r="BZ33" s="93"/>
      <c r="CA33" s="93"/>
      <c r="CB33" s="93"/>
      <c r="CC33" s="93"/>
      <c r="CD33" s="93"/>
      <c r="CE33" s="93"/>
      <c r="CF33" s="93"/>
      <c r="CG33" s="93"/>
      <c r="CH33" s="93"/>
    </row>
    <row r="34" spans="1:86">
      <c r="A34" s="134" t="s">
        <v>197</v>
      </c>
      <c r="B34" s="135" t="s">
        <v>33</v>
      </c>
      <c r="C34" s="135" t="s">
        <v>56</v>
      </c>
      <c r="D34" s="135" t="s">
        <v>255</v>
      </c>
      <c r="E34" s="207">
        <v>452649347</v>
      </c>
      <c r="F34" s="183">
        <f>(SUMIF(C$4:C$71,C34,E$4:E$71)-SUMIF('2020 CNESER'!C$4:C$71,C34,'2020 CNESER'!E$4:E$71))/SUMIF('2020 CNESER'!C$4:C$71,C34,'2020 CNESER'!E$4:E$71)</f>
        <v>5.9207695213207385E-3</v>
      </c>
      <c r="G34" s="207">
        <v>491604997</v>
      </c>
      <c r="H34" s="183">
        <f>(SUMIF(C$4:C$71,C34,G$4:G$71)-SUMIF('2020 CNESER'!C$4:C$71,C34,'2020 CNESER'!G$4:G$71))/SUMIF('2020 CNESER'!C$4:C$71,C34,'2020 CNESER'!G$4:G$71)</f>
        <v>5.7939196877012976E-3</v>
      </c>
      <c r="I34" s="136">
        <f>SUMIF('2020 CNESER'!$C$4:$C$77,C34,'2020 CNESER'!$I$4:$I$77)</f>
        <v>6839</v>
      </c>
      <c r="J34" s="136">
        <f t="shared" si="5"/>
        <v>6838.402272926056</v>
      </c>
      <c r="K34" s="173">
        <v>51618</v>
      </c>
      <c r="L34" s="101">
        <f>(SUMIF('2021 CNESER'!$C$4:$C$76,'2021 CNESER'!$C33,'2021 CNESER'!$K$4:$K$76)-SUMIF('2020 CNESER'!$C$4:$C$76,'2021 CNESER'!$C33,'2020 CNESER'!$L$4:$L$76))/SUMIF('2020 CNESER'!$C$4:$C$76,'2021 CNESER'!$C33,'2020 CNESER'!$L$4:$L$76)</f>
        <v>-0.10333948449312459</v>
      </c>
      <c r="M34" s="27">
        <f t="shared" si="0"/>
        <v>9523.906331124801</v>
      </c>
      <c r="N34" s="212">
        <f>I34/K34*100</f>
        <v>13.249254136154054</v>
      </c>
      <c r="O34" s="192">
        <f t="shared" si="1"/>
        <v>-2524.0761854281882</v>
      </c>
      <c r="P34" s="198">
        <f t="shared" si="2"/>
        <v>-154818662.65172029</v>
      </c>
      <c r="Q34" s="218">
        <f t="shared" si="6"/>
        <v>0</v>
      </c>
      <c r="R34" s="198">
        <f t="shared" si="7"/>
        <v>0</v>
      </c>
      <c r="S34" s="138">
        <f t="shared" si="3"/>
        <v>66192.266692482503</v>
      </c>
      <c r="T34" s="96">
        <f t="shared" si="4"/>
        <v>0.92075823020977143</v>
      </c>
      <c r="U34" s="93"/>
      <c r="V34" s="93"/>
      <c r="W34" s="93"/>
      <c r="X34" s="93"/>
      <c r="Y34" s="93"/>
      <c r="Z34" s="93"/>
      <c r="AA34" s="93"/>
      <c r="AB34" s="93"/>
      <c r="AC34" s="93"/>
      <c r="AD34" s="93"/>
      <c r="AE34" s="93"/>
      <c r="AF34" s="93"/>
      <c r="AG34" s="93"/>
      <c r="AH34" s="93"/>
      <c r="AI34" s="93"/>
      <c r="AJ34" s="93"/>
      <c r="AK34" s="93"/>
      <c r="AL34" s="93"/>
      <c r="AM34" s="93"/>
      <c r="AN34" s="93"/>
      <c r="AO34" s="93"/>
      <c r="AP34" s="93"/>
      <c r="AQ34" s="93"/>
      <c r="AR34" s="93"/>
      <c r="AS34" s="93"/>
      <c r="AT34" s="93"/>
      <c r="AU34" s="93"/>
      <c r="AV34" s="93"/>
      <c r="AW34" s="93"/>
      <c r="AX34" s="93"/>
      <c r="AY34" s="93"/>
      <c r="AZ34" s="93"/>
      <c r="BA34" s="93"/>
      <c r="BB34" s="93"/>
      <c r="BC34" s="93"/>
      <c r="BD34" s="93"/>
      <c r="BE34" s="93"/>
      <c r="BF34" s="93"/>
      <c r="BG34" s="93"/>
      <c r="BH34" s="93"/>
      <c r="BI34" s="93"/>
      <c r="BJ34" s="93"/>
      <c r="BK34" s="93"/>
      <c r="BL34" s="93"/>
      <c r="BM34" s="93"/>
      <c r="BN34" s="93"/>
      <c r="BO34" s="93"/>
      <c r="BP34" s="93"/>
      <c r="BQ34" s="93"/>
      <c r="BR34" s="93"/>
      <c r="BS34" s="93"/>
      <c r="BT34" s="93"/>
      <c r="BU34" s="93"/>
      <c r="BV34" s="93"/>
      <c r="BW34" s="93"/>
      <c r="BX34" s="93"/>
      <c r="BY34" s="93"/>
      <c r="BZ34" s="93"/>
      <c r="CA34" s="93"/>
      <c r="CB34" s="93"/>
      <c r="CC34" s="93"/>
      <c r="CD34" s="93"/>
      <c r="CE34" s="93"/>
      <c r="CF34" s="93"/>
      <c r="CG34" s="93"/>
      <c r="CH34" s="93"/>
    </row>
    <row r="35" spans="1:86">
      <c r="A35" s="140" t="s">
        <v>200</v>
      </c>
      <c r="B35" s="141" t="s">
        <v>4</v>
      </c>
      <c r="C35" s="141" t="s">
        <v>44</v>
      </c>
      <c r="D35" s="141" t="s">
        <v>41</v>
      </c>
      <c r="E35" s="208">
        <v>18021971</v>
      </c>
      <c r="F35" s="182">
        <f>(SUMIF(C$4:C$71,C35,E$4:E$71)-SUMIF('2020 CNESER'!C$4:C$71,C35,'2020 CNESER'!E$4:E$71))/SUMIF('2020 CNESER'!C$4:C$71,C35,'2020 CNESER'!E$4:E$71)</f>
        <v>5.2413942597623636E-2</v>
      </c>
      <c r="G35" s="208">
        <v>20010907</v>
      </c>
      <c r="H35" s="182">
        <f>(SUMIF(C$4:C$71,C35,G$4:G$71)-SUMIF('2020 CNESER'!C$4:C$71,C35,'2020 CNESER'!G$4:G$71))/SUMIF('2020 CNESER'!C$4:C$71,C35,'2020 CNESER'!G$4:G$71)</f>
        <v>4.7094019339122634E-2</v>
      </c>
      <c r="I35" s="142">
        <f>SUMIF('2020 CNESER'!$C$4:$C$77,C35,'2020 CNESER'!$I$4:$I$77)</f>
        <v>218</v>
      </c>
      <c r="J35" s="142">
        <f t="shared" si="5"/>
        <v>231.94117879150062</v>
      </c>
      <c r="K35" s="175">
        <v>5379</v>
      </c>
      <c r="L35" s="178">
        <f>(SUMIF('2021 CNESER'!$C$4:$C$76,'2021 CNESER'!$C34,'2021 CNESER'!$K$4:$K$76)-SUMIF('2020 CNESER'!$C$4:$C$76,'2021 CNESER'!$C34,'2020 CNESER'!$L$4:$L$76))/SUMIF('2020 CNESER'!$C$4:$C$76,'2021 CNESER'!$C34,'2020 CNESER'!$L$4:$L$76)</f>
        <v>4.3194022881158064E-3</v>
      </c>
      <c r="M35" s="36">
        <f t="shared" si="0"/>
        <v>3720.190927681725</v>
      </c>
      <c r="N35" s="213">
        <f>I35/K35*100</f>
        <v>4.0527979178285927</v>
      </c>
      <c r="O35" s="199">
        <f t="shared" ref="O35:O55" si="9">K35*$N$75/100-J35</f>
        <v>205.21289486243123</v>
      </c>
      <c r="P35" s="197">
        <f t="shared" ref="P35:P55" si="10">K35*$M$75-G35</f>
        <v>15740969.087739199</v>
      </c>
      <c r="Q35" s="217">
        <f t="shared" si="6"/>
        <v>12312773.691745874</v>
      </c>
      <c r="R35" s="197">
        <f t="shared" si="7"/>
        <v>3428195.3959933259</v>
      </c>
      <c r="S35" s="138">
        <f t="shared" si="3"/>
        <v>77700.609671387967</v>
      </c>
      <c r="T35" s="96">
        <f t="shared" si="4"/>
        <v>0.9006074037523637</v>
      </c>
      <c r="U35" s="93"/>
      <c r="V35" s="93"/>
      <c r="W35" s="93"/>
      <c r="X35" s="93"/>
      <c r="Y35" s="93"/>
      <c r="Z35" s="93"/>
      <c r="AA35" s="93"/>
      <c r="AB35" s="93"/>
      <c r="AC35" s="93"/>
      <c r="AD35" s="93"/>
      <c r="AE35" s="93"/>
      <c r="AF35" s="93"/>
      <c r="AG35" s="93"/>
      <c r="AH35" s="93"/>
      <c r="AI35" s="93"/>
      <c r="AJ35" s="93"/>
      <c r="AK35" s="93"/>
      <c r="AL35" s="93"/>
      <c r="AM35" s="93"/>
      <c r="AN35" s="93"/>
      <c r="AO35" s="93"/>
      <c r="AP35" s="93"/>
      <c r="AQ35" s="93"/>
      <c r="AR35" s="93"/>
      <c r="AS35" s="93"/>
      <c r="AT35" s="93"/>
      <c r="AU35" s="93"/>
      <c r="AV35" s="93"/>
      <c r="AW35" s="93"/>
      <c r="AX35" s="93"/>
      <c r="AY35" s="93"/>
      <c r="AZ35" s="93"/>
      <c r="BA35" s="93"/>
      <c r="BB35" s="93"/>
      <c r="BC35" s="93"/>
      <c r="BD35" s="93"/>
      <c r="BE35" s="93"/>
      <c r="BF35" s="93"/>
      <c r="BG35" s="93"/>
      <c r="BH35" s="93"/>
      <c r="BI35" s="93"/>
      <c r="BJ35" s="93"/>
      <c r="BK35" s="93"/>
      <c r="BL35" s="93"/>
      <c r="BM35" s="93"/>
      <c r="BN35" s="93"/>
      <c r="BO35" s="93"/>
      <c r="BP35" s="93"/>
      <c r="BQ35" s="93"/>
      <c r="BR35" s="93"/>
      <c r="BS35" s="93"/>
      <c r="BT35" s="93"/>
      <c r="BU35" s="93"/>
      <c r="BV35" s="93"/>
      <c r="BW35" s="93"/>
      <c r="BX35" s="93"/>
      <c r="BY35" s="93"/>
      <c r="BZ35" s="93"/>
      <c r="CA35" s="93"/>
      <c r="CB35" s="93"/>
      <c r="CC35" s="93"/>
      <c r="CD35" s="93"/>
      <c r="CE35" s="93"/>
      <c r="CF35" s="93"/>
      <c r="CG35" s="93"/>
      <c r="CH35" s="93"/>
    </row>
    <row r="36" spans="1:86">
      <c r="A36" s="140" t="s">
        <v>200</v>
      </c>
      <c r="B36" s="141" t="s">
        <v>18</v>
      </c>
      <c r="C36" s="141" t="s">
        <v>334</v>
      </c>
      <c r="D36" s="141" t="s">
        <v>252</v>
      </c>
      <c r="E36" s="208">
        <v>78524163</v>
      </c>
      <c r="F36" s="182">
        <f>(SUMIF(C$4:C$71,C36,E$4:E$71)-SUMIF('2020 CNESER'!C$4:C$71,C36,'2020 CNESER'!E$4:E$71))/SUMIF('2020 CNESER'!C$4:C$71,C36,'2020 CNESER'!E$4:E$71)</f>
        <v>2.3717649444130059E-2</v>
      </c>
      <c r="G36" s="208">
        <v>81752567</v>
      </c>
      <c r="H36" s="182">
        <f>(SUMIF(C$4:C$71,C36,G$4:G$71)-SUMIF('2020 CNESER'!C$4:C$71,C36,'2020 CNESER'!G$4:G$71))/SUMIF('2020 CNESER'!C$4:C$71,C36,'2020 CNESER'!G$4:G$71)</f>
        <v>2.3434051104247539E-2</v>
      </c>
      <c r="I36" s="142">
        <f>SUMIF('2020 CNESER'!$C$4:$C$77,C36,'2020 CNESER'!$I$4:$I$77)</f>
        <v>996</v>
      </c>
      <c r="J36" s="142">
        <f t="shared" ref="J36:J67" si="11">I36+((F36-0.6%)*E36)/60000</f>
        <v>1019.1877265487955</v>
      </c>
      <c r="K36" s="175">
        <v>15693</v>
      </c>
      <c r="L36" s="178">
        <f>(SUMIF('2021 CNESER'!$C$4:$C$76,'2021 CNESER'!$C35,'2021 CNESER'!$K$4:$K$76)-SUMIF('2020 CNESER'!$C$4:$C$76,'2021 CNESER'!$C35,'2020 CNESER'!$L$4:$L$76))/SUMIF('2020 CNESER'!$C$4:$C$76,'2021 CNESER'!$C35,'2020 CNESER'!$L$4:$L$76)</f>
        <v>0.11228287841191067</v>
      </c>
      <c r="M36" s="36">
        <f t="shared" ref="M36:M67" si="12">G36/K36</f>
        <v>5209.4925763079082</v>
      </c>
      <c r="N36" s="213">
        <f>J36/K36*100</f>
        <v>6.4945372239138184</v>
      </c>
      <c r="O36" s="199">
        <f t="shared" si="9"/>
        <v>256.19038794296</v>
      </c>
      <c r="P36" s="197">
        <f t="shared" si="10"/>
        <v>22551986.159488976</v>
      </c>
      <c r="Q36" s="217">
        <f t="shared" si="6"/>
        <v>15371423.276577599</v>
      </c>
      <c r="R36" s="197">
        <f t="shared" si="7"/>
        <v>7180562.8829113767</v>
      </c>
      <c r="S36" s="138">
        <f t="shared" ref="S36:S71" si="13">E36/J36</f>
        <v>77045.828707043911</v>
      </c>
      <c r="T36" s="96">
        <f t="shared" ref="T36:T71" si="14">E36/G36</f>
        <v>0.96051005958014746</v>
      </c>
      <c r="U36" s="93"/>
      <c r="V36" s="93"/>
      <c r="W36" s="93"/>
      <c r="X36" s="93"/>
      <c r="Y36" s="93"/>
      <c r="Z36" s="93"/>
      <c r="AA36" s="93"/>
      <c r="AB36" s="93"/>
      <c r="AC36" s="93"/>
      <c r="AD36" s="93"/>
      <c r="AE36" s="93"/>
      <c r="AF36" s="93"/>
      <c r="AG36" s="93"/>
      <c r="AH36" s="93"/>
      <c r="AI36" s="93"/>
      <c r="AJ36" s="93"/>
      <c r="AK36" s="93"/>
      <c r="AL36" s="93"/>
      <c r="AM36" s="93"/>
      <c r="AN36" s="93"/>
      <c r="AO36" s="93"/>
      <c r="AP36" s="93"/>
      <c r="AQ36" s="93"/>
      <c r="AR36" s="93"/>
      <c r="AS36" s="93"/>
      <c r="AT36" s="93"/>
      <c r="AU36" s="93"/>
      <c r="AV36" s="93"/>
      <c r="AW36" s="93"/>
      <c r="AX36" s="93"/>
      <c r="AY36" s="93"/>
      <c r="AZ36" s="93"/>
      <c r="BA36" s="93"/>
      <c r="BB36" s="93"/>
      <c r="BC36" s="93"/>
      <c r="BD36" s="93"/>
      <c r="BE36" s="93"/>
      <c r="BF36" s="93"/>
      <c r="BG36" s="93"/>
      <c r="BH36" s="93"/>
      <c r="BI36" s="93"/>
      <c r="BJ36" s="93"/>
      <c r="BK36" s="93"/>
      <c r="BL36" s="93"/>
      <c r="BM36" s="93"/>
      <c r="BN36" s="93"/>
      <c r="BO36" s="93"/>
      <c r="BP36" s="93"/>
      <c r="BQ36" s="93"/>
      <c r="BR36" s="93"/>
      <c r="BS36" s="93"/>
      <c r="BT36" s="93"/>
      <c r="BU36" s="93"/>
      <c r="BV36" s="93"/>
      <c r="BW36" s="93"/>
      <c r="BX36" s="93"/>
      <c r="BY36" s="93"/>
      <c r="BZ36" s="93"/>
      <c r="CA36" s="93"/>
      <c r="CB36" s="93"/>
      <c r="CC36" s="93"/>
      <c r="CD36" s="93"/>
      <c r="CE36" s="93"/>
      <c r="CF36" s="93"/>
      <c r="CG36" s="93"/>
      <c r="CH36" s="93"/>
    </row>
    <row r="37" spans="1:86">
      <c r="A37" s="140" t="s">
        <v>200</v>
      </c>
      <c r="B37" s="141" t="s">
        <v>18</v>
      </c>
      <c r="C37" s="141" t="s">
        <v>19</v>
      </c>
      <c r="D37" s="141" t="s">
        <v>247</v>
      </c>
      <c r="E37" s="208">
        <v>115678648</v>
      </c>
      <c r="F37" s="182">
        <f>(SUMIF(C$4:C$71,C37,E$4:E$71)-SUMIF('2020 CNESER'!C$4:C$71,C37,'2020 CNESER'!E$4:E$71))/SUMIF('2020 CNESER'!C$4:C$71,C37,'2020 CNESER'!E$4:E$71)</f>
        <v>1.3859324463105782E-2</v>
      </c>
      <c r="G37" s="208">
        <v>129785752</v>
      </c>
      <c r="H37" s="182">
        <f>(SUMIF(C$4:C$71,C37,G$4:G$71)-SUMIF('2020 CNESER'!C$4:C$71,C37,'2020 CNESER'!G$4:G$71))/SUMIF('2020 CNESER'!C$4:C$71,C37,'2020 CNESER'!G$4:G$71)</f>
        <v>3.2234676464205886E-2</v>
      </c>
      <c r="I37" s="142">
        <f>SUMIF('2020 CNESER'!$C$4:$C$77,C37,'2020 CNESER'!$I$4:$I$77)</f>
        <v>1554</v>
      </c>
      <c r="J37" s="142">
        <f t="shared" si="11"/>
        <v>1569.15260046809</v>
      </c>
      <c r="K37" s="175">
        <v>24761</v>
      </c>
      <c r="L37" s="178">
        <f>(SUMIF('2021 CNESER'!$C$4:$C$76,'2021 CNESER'!$C47,'2021 CNESER'!$K$4:$K$76)-SUMIF('2020 CNESER'!$C$4:$C$76,'2021 CNESER'!$C47,'2020 CNESER'!$L$4:$L$76))/SUMIF('2020 CNESER'!$C$4:$C$76,'2021 CNESER'!$C47,'2020 CNESER'!$L$4:$L$76)</f>
        <v>2.0155485171321624E-2</v>
      </c>
      <c r="M37" s="36">
        <f t="shared" si="12"/>
        <v>5241.539194701345</v>
      </c>
      <c r="N37" s="213">
        <f>I37/K37*100</f>
        <v>6.2759985461007224</v>
      </c>
      <c r="O37" s="199">
        <f t="shared" si="9"/>
        <v>443.18649931718733</v>
      </c>
      <c r="P37" s="197">
        <f t="shared" si="10"/>
        <v>34789857.557261616</v>
      </c>
      <c r="Q37" s="217">
        <f t="shared" si="6"/>
        <v>26591189.959031239</v>
      </c>
      <c r="R37" s="197">
        <f t="shared" si="7"/>
        <v>8198667.5982303768</v>
      </c>
      <c r="S37" s="138">
        <f t="shared" si="13"/>
        <v>73720.457758851626</v>
      </c>
      <c r="T37" s="96">
        <f t="shared" si="14"/>
        <v>0.89130467880634545</v>
      </c>
      <c r="U37" s="93"/>
      <c r="V37" s="93"/>
      <c r="W37" s="93"/>
      <c r="X37" s="93"/>
      <c r="Y37" s="93"/>
      <c r="Z37" s="93"/>
      <c r="AA37" s="93"/>
      <c r="AB37" s="93"/>
      <c r="AC37" s="93"/>
      <c r="AD37" s="93"/>
      <c r="AE37" s="93"/>
      <c r="AF37" s="93"/>
      <c r="AG37" s="93"/>
      <c r="AH37" s="93"/>
      <c r="AI37" s="93"/>
      <c r="AJ37" s="93"/>
      <c r="AK37" s="93"/>
      <c r="AL37" s="93"/>
      <c r="AM37" s="93"/>
      <c r="AN37" s="93"/>
      <c r="AO37" s="93"/>
      <c r="AP37" s="93"/>
      <c r="AQ37" s="93"/>
      <c r="AR37" s="93"/>
      <c r="AS37" s="93"/>
      <c r="AT37" s="93"/>
      <c r="AU37" s="93"/>
      <c r="AV37" s="93"/>
      <c r="AW37" s="93"/>
      <c r="AX37" s="93"/>
      <c r="AY37" s="93"/>
      <c r="AZ37" s="93"/>
      <c r="BA37" s="93"/>
      <c r="BB37" s="93"/>
      <c r="BC37" s="93"/>
      <c r="BD37" s="93"/>
      <c r="BE37" s="93"/>
      <c r="BF37" s="93"/>
      <c r="BG37" s="93"/>
      <c r="BH37" s="93"/>
      <c r="BI37" s="93"/>
      <c r="BJ37" s="93"/>
      <c r="BK37" s="93"/>
      <c r="BL37" s="93"/>
      <c r="BM37" s="93"/>
      <c r="BN37" s="93"/>
      <c r="BO37" s="93"/>
      <c r="BP37" s="93"/>
      <c r="BQ37" s="93"/>
      <c r="BR37" s="93"/>
      <c r="BS37" s="93"/>
      <c r="BT37" s="93"/>
      <c r="BU37" s="93"/>
      <c r="BV37" s="93"/>
      <c r="BW37" s="93"/>
      <c r="BX37" s="93"/>
      <c r="BY37" s="93"/>
      <c r="BZ37" s="93"/>
      <c r="CA37" s="93"/>
      <c r="CB37" s="93"/>
      <c r="CC37" s="93"/>
      <c r="CD37" s="93"/>
      <c r="CE37" s="93"/>
      <c r="CF37" s="93"/>
      <c r="CG37" s="93"/>
      <c r="CH37" s="93"/>
    </row>
    <row r="38" spans="1:86">
      <c r="A38" s="140" t="s">
        <v>200</v>
      </c>
      <c r="B38" s="141" t="s">
        <v>4</v>
      </c>
      <c r="C38" s="141" t="s">
        <v>332</v>
      </c>
      <c r="D38" s="141" t="s">
        <v>255</v>
      </c>
      <c r="E38" s="208">
        <v>53350312</v>
      </c>
      <c r="F38" s="182">
        <f>(SUMIF(C$4:C$71,C38,E$4:E$71)-SUMIF('2020 CNESER'!C$4:C$71,C38,'2020 CNESER'!E$4:E$71))/SUMIF('2020 CNESER'!C$4:C$71,C38,'2020 CNESER'!E$4:E$71)</f>
        <v>6.8500695779341271E-3</v>
      </c>
      <c r="G38" s="208">
        <v>58948444</v>
      </c>
      <c r="H38" s="182">
        <f>(SUMIF(C$4:C$71,C38,G$4:G$71)-SUMIF('2020 CNESER'!C$4:C$71,C38,'2020 CNESER'!G$4:G$71))/SUMIF('2020 CNESER'!C$4:C$71,C38,'2020 CNESER'!G$4:G$71)</f>
        <v>9.1064028507024039E-3</v>
      </c>
      <c r="I38" s="142">
        <f>SUMIF('2020 CNESER'!$C$4:$C$77,C38,'2020 CNESER'!$I$4:$I$77)</f>
        <v>746</v>
      </c>
      <c r="J38" s="142">
        <v>744</v>
      </c>
      <c r="K38" s="175">
        <v>10588</v>
      </c>
      <c r="L38" s="178">
        <f>(SUMIF('2021 CNESER'!$C$4:$C$76,'2021 CNESER'!$C71,'2021 CNESER'!$K$4:$K$76)-SUMIF('2020 CNESER'!$C$4:$C$76,'2021 CNESER'!$C71,'2020 CNESER'!$L$4:$L$76))/SUMIF('2020 CNESER'!$C$4:$C$76,'2021 CNESER'!$C71,'2020 CNESER'!$L$4:$L$76)</f>
        <v>3.4869531351421526E-2</v>
      </c>
      <c r="M38" s="36">
        <f t="shared" si="12"/>
        <v>5567.4767661503593</v>
      </c>
      <c r="N38" s="213">
        <f>I38/K38*100</f>
        <v>7.045712126936154</v>
      </c>
      <c r="O38" s="199">
        <f t="shared" si="9"/>
        <v>116.49216059636183</v>
      </c>
      <c r="P38" s="197">
        <f t="shared" si="10"/>
        <v>11425392.032158881</v>
      </c>
      <c r="Q38" s="217">
        <f t="shared" si="6"/>
        <v>6989529.63578171</v>
      </c>
      <c r="R38" s="197">
        <f t="shared" si="7"/>
        <v>4435862.3963771714</v>
      </c>
      <c r="S38" s="138">
        <f t="shared" si="13"/>
        <v>71707.408602150535</v>
      </c>
      <c r="T38" s="96">
        <f t="shared" si="14"/>
        <v>0.90503342208659487</v>
      </c>
      <c r="U38" s="93"/>
      <c r="V38" s="93"/>
      <c r="W38" s="93"/>
      <c r="X38" s="93"/>
      <c r="Y38" s="93"/>
      <c r="Z38" s="93"/>
      <c r="AA38" s="93"/>
      <c r="AB38" s="93"/>
      <c r="AC38" s="93"/>
      <c r="AD38" s="93"/>
      <c r="AE38" s="93"/>
      <c r="AF38" s="93"/>
      <c r="AG38" s="93"/>
      <c r="AH38" s="93"/>
      <c r="AI38" s="93"/>
      <c r="AJ38" s="93"/>
      <c r="AK38" s="93"/>
      <c r="AL38" s="93"/>
      <c r="AM38" s="93"/>
      <c r="AN38" s="93"/>
      <c r="AO38" s="93"/>
      <c r="AP38" s="93"/>
      <c r="AQ38" s="93"/>
      <c r="AR38" s="93"/>
      <c r="AS38" s="93"/>
      <c r="AT38" s="93"/>
      <c r="AU38" s="93"/>
      <c r="AV38" s="93"/>
      <c r="AW38" s="93"/>
      <c r="AX38" s="93"/>
      <c r="AY38" s="93"/>
      <c r="AZ38" s="93"/>
      <c r="BA38" s="93"/>
      <c r="BB38" s="93"/>
      <c r="BC38" s="93"/>
      <c r="BD38" s="93"/>
      <c r="BE38" s="93"/>
      <c r="BF38" s="93"/>
      <c r="BG38" s="93"/>
      <c r="BH38" s="93"/>
      <c r="BI38" s="93"/>
      <c r="BJ38" s="93"/>
      <c r="BK38" s="93"/>
      <c r="BL38" s="93"/>
      <c r="BM38" s="93"/>
      <c r="BN38" s="93"/>
      <c r="BO38" s="93"/>
      <c r="BP38" s="93"/>
      <c r="BQ38" s="93"/>
      <c r="BR38" s="93"/>
      <c r="BS38" s="93"/>
      <c r="BT38" s="93"/>
      <c r="BU38" s="93"/>
      <c r="BV38" s="93"/>
      <c r="BW38" s="93"/>
      <c r="BX38" s="93"/>
      <c r="BY38" s="93"/>
      <c r="BZ38" s="93"/>
      <c r="CA38" s="93"/>
      <c r="CB38" s="93"/>
      <c r="CC38" s="93"/>
      <c r="CD38" s="93"/>
      <c r="CE38" s="93"/>
      <c r="CF38" s="93"/>
      <c r="CG38" s="93"/>
      <c r="CH38" s="93"/>
    </row>
    <row r="39" spans="1:86">
      <c r="A39" s="140" t="s">
        <v>200</v>
      </c>
      <c r="B39" s="141" t="s">
        <v>4</v>
      </c>
      <c r="C39" s="141" t="s">
        <v>10</v>
      </c>
      <c r="D39" s="141" t="s">
        <v>34</v>
      </c>
      <c r="E39" s="208">
        <v>79534686</v>
      </c>
      <c r="F39" s="182">
        <f>(SUMIF(C$4:C$71,C39,E$4:E$71)-SUMIF('2020 CNESER'!C$4:C$71,C39,'2020 CNESER'!E$4:E$71))/SUMIF('2020 CNESER'!C$4:C$71,C39,'2020 CNESER'!E$4:E$71)</f>
        <v>3.0416995471469863E-3</v>
      </c>
      <c r="G39" s="208">
        <v>85617325</v>
      </c>
      <c r="H39" s="182">
        <f>(SUMIF(C$4:C$71,C39,G$4:G$71)-SUMIF('2020 CNESER'!C$4:C$71,C39,'2020 CNESER'!G$4:G$71))/SUMIF('2020 CNESER'!C$4:C$71,C39,'2020 CNESER'!G$4:G$71)</f>
        <v>3.4224666441848633E-3</v>
      </c>
      <c r="I39" s="142">
        <f>SUMIF('2020 CNESER'!$C$4:$C$77,C39,'2020 CNESER'!$I$4:$I$77)</f>
        <v>1114</v>
      </c>
      <c r="J39" s="142">
        <f t="shared" si="11"/>
        <v>1110.0785417064781</v>
      </c>
      <c r="K39" s="175">
        <v>14694</v>
      </c>
      <c r="L39" s="178">
        <f>(SUMIF('2021 CNESER'!$C$4:$C$76,'2021 CNESER'!$C39,'2021 CNESER'!$K$4:$K$76)-SUMIF('2020 CNESER'!$C$4:$C$76,'2021 CNESER'!$C39,'2020 CNESER'!$L$4:$L$76))/SUMIF('2020 CNESER'!$C$4:$C$76,'2021 CNESER'!$C39,'2020 CNESER'!$L$4:$L$76)</f>
        <v>4.949646453824727E-2</v>
      </c>
      <c r="M39" s="36">
        <f t="shared" si="12"/>
        <v>5826.6860623383691</v>
      </c>
      <c r="N39" s="213">
        <f>J39/K39*100</f>
        <v>7.5546382312949367</v>
      </c>
      <c r="O39" s="199">
        <f t="shared" si="9"/>
        <v>84.110333227687079</v>
      </c>
      <c r="P39" s="197">
        <f t="shared" si="10"/>
        <v>12047309.176099598</v>
      </c>
      <c r="Q39" s="217">
        <f t="shared" si="6"/>
        <v>5046619.9936612248</v>
      </c>
      <c r="R39" s="197">
        <f t="shared" si="7"/>
        <v>7000689.1824383736</v>
      </c>
      <c r="S39" s="138">
        <f t="shared" si="13"/>
        <v>71647.800594122469</v>
      </c>
      <c r="T39" s="96">
        <f t="shared" si="14"/>
        <v>0.92895551221671546</v>
      </c>
      <c r="U39" s="93"/>
      <c r="V39" s="93"/>
      <c r="W39" s="93"/>
      <c r="X39" s="93"/>
      <c r="Y39" s="93"/>
      <c r="Z39" s="93"/>
      <c r="AA39" s="93"/>
      <c r="AB39" s="93"/>
      <c r="AC39" s="93"/>
      <c r="AD39" s="93"/>
      <c r="AE39" s="93"/>
      <c r="AF39" s="93"/>
      <c r="AG39" s="93"/>
      <c r="AH39" s="93"/>
      <c r="AI39" s="93"/>
      <c r="AJ39" s="93"/>
      <c r="AK39" s="93"/>
      <c r="AL39" s="93"/>
      <c r="AM39" s="93"/>
      <c r="AN39" s="93"/>
      <c r="AO39" s="93"/>
      <c r="AP39" s="93"/>
      <c r="AQ39" s="93"/>
      <c r="AR39" s="93"/>
      <c r="AS39" s="93"/>
      <c r="AT39" s="93"/>
      <c r="AU39" s="93"/>
      <c r="AV39" s="93"/>
      <c r="AW39" s="93"/>
      <c r="AX39" s="93"/>
      <c r="AY39" s="93"/>
      <c r="AZ39" s="93"/>
      <c r="BA39" s="93"/>
      <c r="BB39" s="93"/>
      <c r="BC39" s="93"/>
      <c r="BD39" s="93"/>
      <c r="BE39" s="93"/>
      <c r="BF39" s="93"/>
      <c r="BG39" s="93"/>
      <c r="BH39" s="93"/>
      <c r="BI39" s="93"/>
      <c r="BJ39" s="93"/>
      <c r="BK39" s="93"/>
      <c r="BL39" s="93"/>
      <c r="BM39" s="93"/>
      <c r="BN39" s="93"/>
      <c r="BO39" s="93"/>
      <c r="BP39" s="93"/>
      <c r="BQ39" s="93"/>
      <c r="BR39" s="93"/>
      <c r="BS39" s="93"/>
      <c r="BT39" s="93"/>
      <c r="BU39" s="93"/>
      <c r="BV39" s="93"/>
      <c r="BW39" s="93"/>
      <c r="BX39" s="93"/>
      <c r="BY39" s="93"/>
      <c r="BZ39" s="93"/>
      <c r="CA39" s="93"/>
      <c r="CB39" s="93"/>
      <c r="CC39" s="93"/>
      <c r="CD39" s="93"/>
      <c r="CE39" s="93"/>
      <c r="CF39" s="93"/>
      <c r="CG39" s="93"/>
      <c r="CH39" s="93"/>
    </row>
    <row r="40" spans="1:86">
      <c r="A40" s="140" t="s">
        <v>200</v>
      </c>
      <c r="B40" s="141" t="s">
        <v>6</v>
      </c>
      <c r="C40" s="141" t="s">
        <v>36</v>
      </c>
      <c r="D40" s="141" t="s">
        <v>34</v>
      </c>
      <c r="E40" s="208">
        <v>67453470</v>
      </c>
      <c r="F40" s="182">
        <f>(SUMIF(C$4:C$71,C40,E$4:E$71)-SUMIF('2020 CNESER'!C$4:C$71,C40,'2020 CNESER'!E$4:E$71))/SUMIF('2020 CNESER'!C$4:C$71,C40,'2020 CNESER'!E$4:E$71)</f>
        <v>1.5025379821541986E-2</v>
      </c>
      <c r="G40" s="208">
        <v>73318030</v>
      </c>
      <c r="H40" s="182">
        <f>(SUMIF(C$4:C$71,C40,G$4:G$71)-SUMIF('2020 CNESER'!C$4:C$71,C40,'2020 CNESER'!G$4:G$71))/SUMIF('2020 CNESER'!C$4:C$71,C40,'2020 CNESER'!G$4:G$71)</f>
        <v>1.1648984686655798E-2</v>
      </c>
      <c r="I40" s="142">
        <f>SUMIF('2020 CNESER'!$C$4:$C$77,C40,'2020 CNESER'!$I$4:$I$77)</f>
        <v>936</v>
      </c>
      <c r="J40" s="142">
        <f t="shared" si="11"/>
        <v>946.14655311718309</v>
      </c>
      <c r="K40" s="175">
        <v>11259</v>
      </c>
      <c r="L40" s="178">
        <f>(SUMIF('2021 CNESER'!$C$4:$C$76,'2021 CNESER'!$C46,'2021 CNESER'!$K$4:$K$76)-SUMIF('2020 CNESER'!$C$4:$C$76,'2021 CNESER'!$C46,'2020 CNESER'!$L$4:$L$76))/SUMIF('2020 CNESER'!$C$4:$C$76,'2021 CNESER'!$C46,'2020 CNESER'!$L$4:$L$76)</f>
        <v>-8.7819343065693427E-3</v>
      </c>
      <c r="M40" s="36">
        <f t="shared" si="12"/>
        <v>6511.9486632915887</v>
      </c>
      <c r="N40" s="213">
        <f>J40/K40*100</f>
        <v>8.4034688082172764</v>
      </c>
      <c r="O40" s="192">
        <f t="shared" si="9"/>
        <v>-31.121880265422874</v>
      </c>
      <c r="P40" s="197">
        <f t="shared" si="10"/>
        <v>1515651.5154964924</v>
      </c>
      <c r="Q40" s="218">
        <f t="shared" si="6"/>
        <v>0</v>
      </c>
      <c r="R40" s="197">
        <f t="shared" si="7"/>
        <v>1515651.5154964924</v>
      </c>
      <c r="S40" s="138">
        <f t="shared" si="13"/>
        <v>71292.834897265318</v>
      </c>
      <c r="T40" s="96">
        <f t="shared" si="14"/>
        <v>0.92001203523880826</v>
      </c>
      <c r="U40" s="93"/>
      <c r="V40" s="93"/>
      <c r="W40" s="93"/>
      <c r="X40" s="93"/>
      <c r="Y40" s="93"/>
      <c r="Z40" s="93"/>
      <c r="AA40" s="93"/>
      <c r="AB40" s="93"/>
      <c r="AC40" s="93"/>
      <c r="AD40" s="93"/>
      <c r="AE40" s="93"/>
      <c r="AF40" s="93"/>
      <c r="AG40" s="93"/>
      <c r="AH40" s="93"/>
      <c r="AI40" s="93"/>
      <c r="AJ40" s="93"/>
      <c r="AK40" s="93"/>
      <c r="AL40" s="93"/>
      <c r="AM40" s="93"/>
      <c r="AN40" s="93"/>
      <c r="AO40" s="93"/>
      <c r="AP40" s="93"/>
      <c r="AQ40" s="93"/>
      <c r="AR40" s="93"/>
      <c r="AS40" s="93"/>
      <c r="AT40" s="93"/>
      <c r="AU40" s="93"/>
      <c r="AV40" s="93"/>
      <c r="AW40" s="93"/>
      <c r="AX40" s="93"/>
      <c r="AY40" s="93"/>
      <c r="AZ40" s="93"/>
      <c r="BA40" s="93"/>
      <c r="BB40" s="93"/>
      <c r="BC40" s="93"/>
      <c r="BD40" s="93"/>
      <c r="BE40" s="93"/>
      <c r="BF40" s="93"/>
      <c r="BG40" s="93"/>
      <c r="BH40" s="93"/>
      <c r="BI40" s="93"/>
      <c r="BJ40" s="93"/>
      <c r="BK40" s="93"/>
      <c r="BL40" s="93"/>
      <c r="BM40" s="93"/>
      <c r="BN40" s="93"/>
      <c r="BO40" s="93"/>
      <c r="BP40" s="93"/>
      <c r="BQ40" s="93"/>
      <c r="BR40" s="93"/>
      <c r="BS40" s="93"/>
      <c r="BT40" s="93"/>
      <c r="BU40" s="93"/>
      <c r="BV40" s="93"/>
      <c r="BW40" s="93"/>
      <c r="BX40" s="93"/>
      <c r="BY40" s="93"/>
      <c r="BZ40" s="93"/>
      <c r="CA40" s="93"/>
      <c r="CB40" s="93"/>
      <c r="CC40" s="93"/>
      <c r="CD40" s="93"/>
      <c r="CE40" s="93"/>
      <c r="CF40" s="93"/>
      <c r="CG40" s="93"/>
      <c r="CH40" s="93"/>
    </row>
    <row r="41" spans="1:86">
      <c r="A41" s="140" t="s">
        <v>200</v>
      </c>
      <c r="B41" s="141" t="s">
        <v>4</v>
      </c>
      <c r="C41" s="141" t="s">
        <v>173</v>
      </c>
      <c r="D41" s="141" t="s">
        <v>248</v>
      </c>
      <c r="E41" s="208">
        <v>84274269</v>
      </c>
      <c r="F41" s="182">
        <f>(SUMIF(C$4:C$71,C41,E$4:E$71)-SUMIF('2020 CNESER'!C$4:C$71,C41,'2020 CNESER'!E$4:E$71))/SUMIF('2020 CNESER'!C$4:C$71,C41,'2020 CNESER'!E$4:E$71)</f>
        <v>1.1830165171856477E-2</v>
      </c>
      <c r="G41" s="208">
        <v>92955446</v>
      </c>
      <c r="H41" s="182">
        <f>(SUMIF(C$4:C$71,C41,G$4:G$71)-SUMIF('2020 CNESER'!C$4:C$71,C41,'2020 CNESER'!G$4:G$71))/SUMIF('2020 CNESER'!C$4:C$71,C41,'2020 CNESER'!G$4:G$71)</f>
        <v>1.3056359862222816E-2</v>
      </c>
      <c r="I41" s="142">
        <f>SUMIF('2020 CNESER'!$C$4:$C$77,C41,'2020 CNESER'!$I$4:$I$77)</f>
        <v>1112</v>
      </c>
      <c r="J41" s="142">
        <f t="shared" si="11"/>
        <v>1120.1888818001244</v>
      </c>
      <c r="K41" s="175">
        <v>14154</v>
      </c>
      <c r="L41" s="178">
        <f>(SUMIF('2021 CNESER'!$C$4:$C$76,'2021 CNESER'!$C16,'2021 CNESER'!$K$4:$K$76)-SUMIF('2020 CNESER'!$C$4:$C$76,'2021 CNESER'!$C16,'2020 CNESER'!$L$4:$L$76))/SUMIF('2020 CNESER'!$C$4:$C$76,'2021 CNESER'!$C16,'2020 CNESER'!$L$4:$L$76)</f>
        <v>1.6354169993931071E-2</v>
      </c>
      <c r="M41" s="36">
        <f t="shared" si="12"/>
        <v>6567.432951815741</v>
      </c>
      <c r="N41" s="213">
        <f>J41/K41*100</f>
        <v>7.9142919443275712</v>
      </c>
      <c r="O41" s="199">
        <f t="shared" si="9"/>
        <v>30.113917697505485</v>
      </c>
      <c r="P41" s="197">
        <f t="shared" si="10"/>
        <v>1120042.7796729207</v>
      </c>
      <c r="Q41" s="217">
        <f t="shared" si="6"/>
        <v>1806835.0618503292</v>
      </c>
      <c r="R41" s="198">
        <f t="shared" si="7"/>
        <v>-686792.28217740846</v>
      </c>
      <c r="S41" s="138">
        <f t="shared" si="13"/>
        <v>75232.195542391652</v>
      </c>
      <c r="T41" s="96">
        <f t="shared" si="14"/>
        <v>0.90660926956339927</v>
      </c>
      <c r="U41" s="93"/>
      <c r="V41" s="93"/>
      <c r="W41" s="93"/>
      <c r="X41" s="93"/>
      <c r="Y41" s="93"/>
      <c r="Z41" s="93"/>
      <c r="AA41" s="93"/>
      <c r="AB41" s="93"/>
      <c r="AC41" s="93"/>
      <c r="AD41" s="93"/>
      <c r="AE41" s="93"/>
      <c r="AF41" s="93"/>
      <c r="AG41" s="93"/>
      <c r="AH41" s="93"/>
      <c r="AI41" s="93"/>
      <c r="AJ41" s="93"/>
      <c r="AK41" s="93"/>
      <c r="AL41" s="93"/>
      <c r="AM41" s="93"/>
      <c r="AN41" s="93"/>
      <c r="AO41" s="93"/>
      <c r="AP41" s="93"/>
      <c r="AQ41" s="93"/>
      <c r="AR41" s="93"/>
      <c r="AS41" s="93"/>
      <c r="AT41" s="93"/>
      <c r="AU41" s="93"/>
      <c r="AV41" s="93"/>
      <c r="AW41" s="93"/>
      <c r="AX41" s="93"/>
      <c r="AY41" s="93"/>
      <c r="AZ41" s="93"/>
      <c r="BA41" s="93"/>
      <c r="BB41" s="93"/>
      <c r="BC41" s="93"/>
      <c r="BD41" s="93"/>
      <c r="BE41" s="93"/>
      <c r="BF41" s="93"/>
      <c r="BG41" s="93"/>
      <c r="BH41" s="93"/>
      <c r="BI41" s="93"/>
      <c r="BJ41" s="93"/>
      <c r="BK41" s="93"/>
      <c r="BL41" s="93"/>
      <c r="BM41" s="93"/>
      <c r="BN41" s="93"/>
      <c r="BO41" s="93"/>
      <c r="BP41" s="93"/>
      <c r="BQ41" s="93"/>
      <c r="BR41" s="93"/>
      <c r="BS41" s="93"/>
      <c r="BT41" s="93"/>
      <c r="BU41" s="93"/>
      <c r="BV41" s="93"/>
      <c r="BW41" s="93"/>
      <c r="BX41" s="93"/>
      <c r="BY41" s="93"/>
      <c r="BZ41" s="93"/>
      <c r="CA41" s="93"/>
      <c r="CB41" s="93"/>
      <c r="CC41" s="93"/>
      <c r="CD41" s="93"/>
      <c r="CE41" s="93"/>
      <c r="CF41" s="93"/>
      <c r="CG41" s="93"/>
      <c r="CH41" s="93"/>
    </row>
    <row r="42" spans="1:86">
      <c r="A42" s="140" t="s">
        <v>200</v>
      </c>
      <c r="B42" s="141" t="s">
        <v>4</v>
      </c>
      <c r="C42" s="141" t="s">
        <v>32</v>
      </c>
      <c r="D42" s="141" t="s">
        <v>43</v>
      </c>
      <c r="E42" s="208">
        <v>67975606</v>
      </c>
      <c r="F42" s="182">
        <f>(SUMIF(C$4:C$71,C42,E$4:E$71)-SUMIF('2020 CNESER'!C$4:C$71,C42,'2020 CNESER'!E$4:E$71))/SUMIF('2020 CNESER'!C$4:C$71,C42,'2020 CNESER'!E$4:E$71)</f>
        <v>2.0644936745352598E-2</v>
      </c>
      <c r="G42" s="208">
        <v>75454888</v>
      </c>
      <c r="H42" s="182">
        <f>(SUMIF(C$4:C$71,C42,G$4:G$71)-SUMIF('2020 CNESER'!C$4:C$71,C42,'2020 CNESER'!G$4:G$71))/SUMIF('2020 CNESER'!C$4:C$71,C42,'2020 CNESER'!G$4:G$71)</f>
        <v>1.8824950598967476E-2</v>
      </c>
      <c r="I42" s="142">
        <f>SUMIF('2020 CNESER'!$C$4:$C$77,C42,'2020 CNESER'!$I$4:$I$77)</f>
        <v>929</v>
      </c>
      <c r="J42" s="142">
        <f t="shared" si="11"/>
        <v>945.59164083495023</v>
      </c>
      <c r="K42" s="175">
        <v>11421</v>
      </c>
      <c r="L42" s="178">
        <f>(SUMIF('2021 CNESER'!$C$4:$C$76,'2021 CNESER'!$C45,'2021 CNESER'!$K$4:$K$76)-SUMIF('2020 CNESER'!$C$4:$C$76,'2021 CNESER'!$C45,'2020 CNESER'!$L$4:$L$76))/SUMIF('2020 CNESER'!$C$4:$C$76,'2021 CNESER'!$C45,'2020 CNESER'!$L$4:$L$76)</f>
        <v>5.7712994836488812E-2</v>
      </c>
      <c r="M42" s="36">
        <f t="shared" si="12"/>
        <v>6606.6796252517297</v>
      </c>
      <c r="N42" s="213">
        <f>I42/K42*100</f>
        <v>8.1341388669993862</v>
      </c>
      <c r="O42" s="192">
        <f t="shared" si="9"/>
        <v>-17.401145352229378</v>
      </c>
      <c r="P42" s="197">
        <f t="shared" si="10"/>
        <v>455537.13442449272</v>
      </c>
      <c r="Q42" s="218">
        <f t="shared" si="6"/>
        <v>0</v>
      </c>
      <c r="R42" s="197">
        <f t="shared" si="7"/>
        <v>455537.13442449272</v>
      </c>
      <c r="S42" s="138">
        <f t="shared" si="13"/>
        <v>71886.851643462142</v>
      </c>
      <c r="T42" s="96">
        <f t="shared" si="14"/>
        <v>0.90087743553472643</v>
      </c>
      <c r="U42" s="93"/>
      <c r="V42" s="93"/>
      <c r="W42" s="93"/>
      <c r="X42" s="93"/>
      <c r="Y42" s="93"/>
      <c r="Z42" s="93"/>
      <c r="AA42" s="93"/>
      <c r="AB42" s="93"/>
      <c r="AC42" s="93"/>
      <c r="AD42" s="93"/>
      <c r="AE42" s="93"/>
      <c r="AF42" s="93"/>
      <c r="AG42" s="93"/>
      <c r="AH42" s="93"/>
      <c r="AI42" s="93"/>
      <c r="AJ42" s="93"/>
      <c r="AK42" s="93"/>
      <c r="AL42" s="93"/>
      <c r="AM42" s="93"/>
      <c r="AN42" s="93"/>
      <c r="AO42" s="93"/>
      <c r="AP42" s="93"/>
      <c r="AQ42" s="93"/>
      <c r="AR42" s="93"/>
      <c r="AS42" s="93"/>
      <c r="AT42" s="93"/>
      <c r="AU42" s="93"/>
      <c r="AV42" s="93"/>
      <c r="AW42" s="93"/>
      <c r="AX42" s="93"/>
      <c r="AY42" s="93"/>
      <c r="AZ42" s="93"/>
      <c r="BA42" s="93"/>
      <c r="BB42" s="93"/>
      <c r="BC42" s="93"/>
      <c r="BD42" s="93"/>
      <c r="BE42" s="93"/>
      <c r="BF42" s="93"/>
      <c r="BG42" s="93"/>
      <c r="BH42" s="93"/>
      <c r="BI42" s="93"/>
      <c r="BJ42" s="93"/>
      <c r="BK42" s="93"/>
      <c r="BL42" s="93"/>
      <c r="BM42" s="93"/>
      <c r="BN42" s="93"/>
      <c r="BO42" s="93"/>
      <c r="BP42" s="93"/>
      <c r="BQ42" s="93"/>
      <c r="BR42" s="93"/>
      <c r="BS42" s="93"/>
      <c r="BT42" s="93"/>
      <c r="BU42" s="93"/>
      <c r="BV42" s="93"/>
      <c r="BW42" s="93"/>
      <c r="BX42" s="93"/>
      <c r="BY42" s="93"/>
      <c r="BZ42" s="93"/>
      <c r="CA42" s="93"/>
      <c r="CB42" s="93"/>
      <c r="CC42" s="93"/>
      <c r="CD42" s="93"/>
      <c r="CE42" s="93"/>
      <c r="CF42" s="93"/>
      <c r="CG42" s="93"/>
      <c r="CH42" s="93"/>
    </row>
    <row r="43" spans="1:86">
      <c r="A43" s="140" t="s">
        <v>200</v>
      </c>
      <c r="B43" s="141" t="s">
        <v>39</v>
      </c>
      <c r="C43" s="141" t="s">
        <v>58</v>
      </c>
      <c r="D43" s="141" t="s">
        <v>253</v>
      </c>
      <c r="E43" s="208">
        <v>65840888</v>
      </c>
      <c r="F43" s="182">
        <f>(SUMIF(C$4:C$71,C43,E$4:E$71)-SUMIF('2020 CNESER'!C$4:C$71,C43,'2020 CNESER'!E$4:E$71))/SUMIF('2020 CNESER'!C$4:C$71,C43,'2020 CNESER'!E$4:E$71)</f>
        <v>1.1400887314117846E-2</v>
      </c>
      <c r="G43" s="208">
        <v>72085989</v>
      </c>
      <c r="H43" s="182">
        <f>(SUMIF(C$4:C$71,C43,G$4:G$71)-SUMIF('2020 CNESER'!C$4:C$71,C43,'2020 CNESER'!G$4:G$71))/SUMIF('2020 CNESER'!C$4:C$71,C43,'2020 CNESER'!G$4:G$71)</f>
        <v>1.0426162570566264E-2</v>
      </c>
      <c r="I43" s="142">
        <f>SUMIF('2020 CNESER'!$C$4:$C$77,C43,'2020 CNESER'!$I$4:$I$77)</f>
        <v>851</v>
      </c>
      <c r="J43" s="142">
        <f t="shared" si="11"/>
        <v>856.9266536124909</v>
      </c>
      <c r="K43" s="175">
        <v>10749</v>
      </c>
      <c r="L43" s="178">
        <f>(SUMIF('2021 CNESER'!$C$4:$C$76,'2021 CNESER'!$C37,'2021 CNESER'!$K$4:$K$76)-SUMIF('2020 CNESER'!$C$4:$C$76,'2021 CNESER'!$C37,'2020 CNESER'!$L$4:$L$76))/SUMIF('2020 CNESER'!$C$4:$C$76,'2021 CNESER'!$C37,'2020 CNESER'!$L$4:$L$76)</f>
        <v>-1.8945501451144793E-3</v>
      </c>
      <c r="M43" s="36">
        <f t="shared" si="12"/>
        <v>6706.2972369522749</v>
      </c>
      <c r="N43" s="213">
        <f>I43/K43*100</f>
        <v>7.9170155363289609</v>
      </c>
      <c r="O43" s="199">
        <f t="shared" si="9"/>
        <v>16.650059104763841</v>
      </c>
      <c r="P43" s="198">
        <f t="shared" si="10"/>
        <v>-642055.91446204484</v>
      </c>
      <c r="Q43" s="217">
        <f t="shared" si="6"/>
        <v>999003.54628583044</v>
      </c>
      <c r="R43" s="198">
        <f t="shared" si="7"/>
        <v>0</v>
      </c>
      <c r="S43" s="138">
        <f t="shared" si="13"/>
        <v>76833.749682588095</v>
      </c>
      <c r="T43" s="96">
        <f t="shared" si="14"/>
        <v>0.913365952432171</v>
      </c>
      <c r="U43" s="93"/>
      <c r="V43" s="93"/>
      <c r="W43" s="93"/>
      <c r="X43" s="93"/>
      <c r="Y43" s="93"/>
      <c r="Z43" s="93"/>
      <c r="AA43" s="93"/>
      <c r="AB43" s="93"/>
      <c r="AC43" s="93"/>
      <c r="AD43" s="93"/>
      <c r="AE43" s="93"/>
      <c r="AF43" s="93"/>
      <c r="AG43" s="93"/>
      <c r="AH43" s="93"/>
      <c r="AI43" s="93"/>
      <c r="AJ43" s="93"/>
      <c r="AK43" s="93"/>
      <c r="AL43" s="93"/>
      <c r="AM43" s="93"/>
      <c r="AN43" s="93"/>
      <c r="AO43" s="93"/>
      <c r="AP43" s="93"/>
      <c r="AQ43" s="93"/>
      <c r="AR43" s="93"/>
      <c r="AS43" s="93"/>
      <c r="AT43" s="93"/>
      <c r="AU43" s="93"/>
      <c r="AV43" s="93"/>
      <c r="AW43" s="93"/>
      <c r="AX43" s="93"/>
      <c r="AY43" s="93"/>
      <c r="AZ43" s="93"/>
      <c r="BA43" s="93"/>
      <c r="BB43" s="93"/>
      <c r="BC43" s="93"/>
      <c r="BD43" s="93"/>
      <c r="BE43" s="93"/>
      <c r="BF43" s="93"/>
      <c r="BG43" s="93"/>
      <c r="BH43" s="93"/>
      <c r="BI43" s="93"/>
      <c r="BJ43" s="93"/>
      <c r="BK43" s="93"/>
      <c r="BL43" s="93"/>
      <c r="BM43" s="93"/>
      <c r="BN43" s="93"/>
      <c r="BO43" s="93"/>
      <c r="BP43" s="93"/>
      <c r="BQ43" s="93"/>
      <c r="BR43" s="93"/>
      <c r="BS43" s="93"/>
      <c r="BT43" s="93"/>
      <c r="BU43" s="93"/>
      <c r="BV43" s="93"/>
      <c r="BW43" s="93"/>
      <c r="BX43" s="93"/>
      <c r="BY43" s="93"/>
      <c r="BZ43" s="93"/>
      <c r="CA43" s="93"/>
      <c r="CB43" s="93"/>
      <c r="CC43" s="93"/>
      <c r="CD43" s="93"/>
      <c r="CE43" s="93"/>
      <c r="CF43" s="93"/>
      <c r="CG43" s="93"/>
      <c r="CH43" s="93"/>
    </row>
    <row r="44" spans="1:86">
      <c r="A44" s="140" t="s">
        <v>200</v>
      </c>
      <c r="B44" s="141" t="s">
        <v>6</v>
      </c>
      <c r="C44" s="141" t="s">
        <v>47</v>
      </c>
      <c r="D44" s="141" t="s">
        <v>14</v>
      </c>
      <c r="E44" s="208">
        <v>86025159</v>
      </c>
      <c r="F44" s="182">
        <f>(SUMIF(C$4:C$71,C44,E$4:E$71)-SUMIF('2020 CNESER'!C$4:C$71,C44,'2020 CNESER'!E$4:E$71))/SUMIF('2020 CNESER'!C$4:C$71,C44,'2020 CNESER'!E$4:E$71)</f>
        <v>1.0950598998727704E-2</v>
      </c>
      <c r="G44" s="208">
        <v>93566054</v>
      </c>
      <c r="H44" s="182">
        <f>(SUMIF(C$4:C$71,C44,G$4:G$71)-SUMIF('2020 CNESER'!C$4:C$71,C44,'2020 CNESER'!G$4:G$71))/SUMIF('2020 CNESER'!C$4:C$71,C44,'2020 CNESER'!G$4:G$71)</f>
        <v>1.1189029373756662E-2</v>
      </c>
      <c r="I44" s="142">
        <f>SUMIF('2020 CNESER'!$C$4:$C$77,C44,'2020 CNESER'!$I$4:$I$77)</f>
        <v>1130</v>
      </c>
      <c r="J44" s="142">
        <f t="shared" si="11"/>
        <v>1137.0979344335133</v>
      </c>
      <c r="K44" s="175">
        <v>13138</v>
      </c>
      <c r="L44" s="178">
        <f>(SUMIF('2021 CNESER'!$C$4:$C$76,'2021 CNESER'!$C43,'2021 CNESER'!$K$4:$K$76)-SUMIF('2020 CNESER'!$C$4:$C$76,'2021 CNESER'!$C43,'2020 CNESER'!$L$4:$L$76))/SUMIF('2020 CNESER'!$C$4:$C$76,'2021 CNESER'!$C43,'2020 CNESER'!$L$4:$L$76)</f>
        <v>4.5622568093385212E-2</v>
      </c>
      <c r="M44" s="36">
        <f t="shared" si="12"/>
        <v>7121.7882478307201</v>
      </c>
      <c r="N44" s="213">
        <f>J44/K44*100</f>
        <v>8.6550307081253859</v>
      </c>
      <c r="O44" s="192">
        <f t="shared" si="9"/>
        <v>-69.365973164623938</v>
      </c>
      <c r="P44" s="198">
        <f t="shared" si="10"/>
        <v>-6243475.8180484176</v>
      </c>
      <c r="Q44" s="218">
        <f t="shared" si="6"/>
        <v>0</v>
      </c>
      <c r="R44" s="198">
        <f t="shared" si="7"/>
        <v>0</v>
      </c>
      <c r="S44" s="138">
        <f t="shared" si="13"/>
        <v>75653.254126133441</v>
      </c>
      <c r="T44" s="96">
        <f t="shared" si="14"/>
        <v>0.91940565325112455</v>
      </c>
      <c r="U44" s="93"/>
      <c r="V44" s="93"/>
      <c r="W44" s="93"/>
      <c r="X44" s="93"/>
      <c r="Y44" s="93"/>
      <c r="Z44" s="93"/>
      <c r="AA44" s="93"/>
      <c r="AB44" s="93"/>
      <c r="AC44" s="93"/>
      <c r="AD44" s="93"/>
      <c r="AE44" s="93"/>
      <c r="AF44" s="93"/>
      <c r="AG44" s="93"/>
      <c r="AH44" s="93"/>
      <c r="AI44" s="93"/>
      <c r="AJ44" s="93"/>
      <c r="AK44" s="93"/>
      <c r="AL44" s="93"/>
      <c r="AM44" s="93"/>
      <c r="AN44" s="93"/>
      <c r="AO44" s="93"/>
      <c r="AP44" s="93"/>
      <c r="AQ44" s="93"/>
      <c r="AR44" s="93"/>
      <c r="AS44" s="93"/>
      <c r="AT44" s="93"/>
      <c r="AU44" s="93"/>
      <c r="AV44" s="93"/>
      <c r="AW44" s="93"/>
      <c r="AX44" s="93"/>
      <c r="AY44" s="93"/>
      <c r="AZ44" s="93"/>
      <c r="BA44" s="93"/>
      <c r="BB44" s="93"/>
      <c r="BC44" s="93"/>
      <c r="BD44" s="93"/>
      <c r="BE44" s="93"/>
      <c r="BF44" s="93"/>
      <c r="BG44" s="93"/>
      <c r="BH44" s="93"/>
      <c r="BI44" s="93"/>
      <c r="BJ44" s="93"/>
      <c r="BK44" s="93"/>
      <c r="BL44" s="93"/>
      <c r="BM44" s="93"/>
      <c r="BN44" s="93"/>
      <c r="BO44" s="93"/>
      <c r="BP44" s="93"/>
      <c r="BQ44" s="93"/>
      <c r="BR44" s="93"/>
      <c r="BS44" s="93"/>
      <c r="BT44" s="93"/>
      <c r="BU44" s="93"/>
      <c r="BV44" s="93"/>
      <c r="BW44" s="93"/>
      <c r="BX44" s="93"/>
      <c r="BY44" s="93"/>
      <c r="BZ44" s="93"/>
      <c r="CA44" s="93"/>
      <c r="CB44" s="93"/>
      <c r="CC44" s="93"/>
      <c r="CD44" s="93"/>
      <c r="CE44" s="93"/>
      <c r="CF44" s="93"/>
      <c r="CG44" s="93"/>
      <c r="CH44" s="93"/>
    </row>
    <row r="45" spans="1:86">
      <c r="A45" s="140" t="s">
        <v>200</v>
      </c>
      <c r="B45" s="141" t="s">
        <v>4</v>
      </c>
      <c r="C45" s="141" t="s">
        <v>46</v>
      </c>
      <c r="D45" s="141" t="s">
        <v>254</v>
      </c>
      <c r="E45" s="208">
        <v>129596601</v>
      </c>
      <c r="F45" s="182">
        <f>(SUMIF(C$4:C$71,C45,E$4:E$71)-SUMIF('2020 CNESER'!C$4:C$71,C45,'2020 CNESER'!E$4:E$71))/SUMIF('2020 CNESER'!C$4:C$71,C45,'2020 CNESER'!E$4:E$71)</f>
        <v>1.0968082245284201E-2</v>
      </c>
      <c r="G45" s="208">
        <v>142139027</v>
      </c>
      <c r="H45" s="182">
        <f>(SUMIF(C$4:C$71,C45,G$4:G$71)-SUMIF('2020 CNESER'!C$4:C$71,C45,'2020 CNESER'!G$4:G$71))/SUMIF('2020 CNESER'!C$4:C$71,C45,'2020 CNESER'!G$4:G$71)</f>
        <v>1.0146735442301149E-2</v>
      </c>
      <c r="I45" s="142">
        <f>SUMIF('2020 CNESER'!$C$4:$C$77,C45,'2020 CNESER'!$I$4:$I$77)</f>
        <v>1803</v>
      </c>
      <c r="J45" s="142">
        <f t="shared" si="11"/>
        <v>1813.7307762079547</v>
      </c>
      <c r="K45" s="175">
        <v>19665</v>
      </c>
      <c r="L45" s="178">
        <f>(SUMIF('2021 CNESER'!$C$4:$C$76,'2021 CNESER'!$C50,'2021 CNESER'!$K$4:$K$76)-SUMIF('2020 CNESER'!$C$4:$C$76,'2021 CNESER'!$C50,'2020 CNESER'!$L$4:$L$76))/SUMIF('2020 CNESER'!$C$4:$C$76,'2021 CNESER'!$C50,'2020 CNESER'!$L$4:$L$76)</f>
        <v>0.10766871165644172</v>
      </c>
      <c r="M45" s="36">
        <f t="shared" si="12"/>
        <v>7228.0206966692094</v>
      </c>
      <c r="N45" s="213">
        <f>J45/K45*100</f>
        <v>9.2231415011846156</v>
      </c>
      <c r="O45" s="192">
        <f t="shared" si="9"/>
        <v>-215.54619572746219</v>
      </c>
      <c r="P45" s="198">
        <f t="shared" si="10"/>
        <v>-11434315.480128035</v>
      </c>
      <c r="Q45" s="218">
        <f t="shared" si="6"/>
        <v>0</v>
      </c>
      <c r="R45" s="198">
        <f t="shared" si="7"/>
        <v>0</v>
      </c>
      <c r="S45" s="138">
        <f t="shared" si="13"/>
        <v>71453.052845556944</v>
      </c>
      <c r="T45" s="96">
        <f t="shared" si="14"/>
        <v>0.9117594494297474</v>
      </c>
      <c r="U45" s="93"/>
      <c r="V45" s="93"/>
      <c r="W45" s="93"/>
      <c r="X45" s="93"/>
      <c r="Y45" s="93"/>
      <c r="Z45" s="93"/>
      <c r="AA45" s="93"/>
      <c r="AB45" s="93"/>
      <c r="AC45" s="93"/>
      <c r="AD45" s="93"/>
      <c r="AE45" s="93"/>
      <c r="AF45" s="93"/>
      <c r="AG45" s="93"/>
      <c r="AH45" s="93"/>
      <c r="AI45" s="93"/>
      <c r="AJ45" s="93"/>
      <c r="AK45" s="93"/>
      <c r="AL45" s="93"/>
      <c r="AM45" s="93"/>
      <c r="AN45" s="93"/>
      <c r="AO45" s="93"/>
      <c r="AP45" s="93"/>
      <c r="AQ45" s="93"/>
      <c r="AR45" s="93"/>
      <c r="AS45" s="93"/>
      <c r="AT45" s="93"/>
      <c r="AU45" s="93"/>
      <c r="AV45" s="93"/>
      <c r="AW45" s="93"/>
      <c r="AX45" s="93"/>
      <c r="AY45" s="93"/>
      <c r="AZ45" s="93"/>
      <c r="BA45" s="93"/>
      <c r="BB45" s="93"/>
      <c r="BC45" s="93"/>
      <c r="BD45" s="93"/>
      <c r="BE45" s="93"/>
      <c r="BF45" s="93"/>
      <c r="BG45" s="93"/>
      <c r="BH45" s="93"/>
      <c r="BI45" s="93"/>
      <c r="BJ45" s="93"/>
      <c r="BK45" s="93"/>
      <c r="BL45" s="93"/>
      <c r="BM45" s="93"/>
      <c r="BN45" s="93"/>
      <c r="BO45" s="93"/>
      <c r="BP45" s="93"/>
      <c r="BQ45" s="93"/>
      <c r="BR45" s="93"/>
      <c r="BS45" s="93"/>
      <c r="BT45" s="93"/>
      <c r="BU45" s="93"/>
      <c r="BV45" s="93"/>
      <c r="BW45" s="93"/>
      <c r="BX45" s="93"/>
      <c r="BY45" s="93"/>
      <c r="BZ45" s="93"/>
      <c r="CA45" s="93"/>
      <c r="CB45" s="93"/>
      <c r="CC45" s="93"/>
      <c r="CD45" s="93"/>
      <c r="CE45" s="93"/>
      <c r="CF45" s="93"/>
      <c r="CG45" s="93"/>
      <c r="CH45" s="93"/>
    </row>
    <row r="46" spans="1:86">
      <c r="A46" s="140" t="s">
        <v>200</v>
      </c>
      <c r="B46" s="141" t="s">
        <v>39</v>
      </c>
      <c r="C46" s="141" t="s">
        <v>48</v>
      </c>
      <c r="D46" s="141" t="s">
        <v>41</v>
      </c>
      <c r="E46" s="208">
        <v>57035193</v>
      </c>
      <c r="F46" s="182">
        <f>(SUMIF(C$4:C$71,C46,E$4:E$71)-SUMIF('2020 CNESER'!C$4:C$71,C46,'2020 CNESER'!E$4:E$71))/SUMIF('2020 CNESER'!C$4:C$71,C46,'2020 CNESER'!E$4:E$71)</f>
        <v>1.7408916300039767E-2</v>
      </c>
      <c r="G46" s="208">
        <v>62852528</v>
      </c>
      <c r="H46" s="182">
        <f>(SUMIF(C$4:C$71,C46,G$4:G$71)-SUMIF('2020 CNESER'!C$4:C$71,C46,'2020 CNESER'!G$4:G$71))/SUMIF('2020 CNESER'!C$4:C$71,C46,'2020 CNESER'!G$4:G$71)</f>
        <v>3.3718440599524689E-2</v>
      </c>
      <c r="I46" s="142">
        <f>SUMIF('2020 CNESER'!$C$4:$C$77,C46,'2020 CNESER'!$I$4:$I$77)</f>
        <v>761</v>
      </c>
      <c r="J46" s="142">
        <f t="shared" si="11"/>
        <v>771.84516238489357</v>
      </c>
      <c r="K46" s="175">
        <v>8691</v>
      </c>
      <c r="L46" s="178">
        <f>(SUMIF('2021 CNESER'!$C$4:$C$76,'2021 CNESER'!$C40,'2021 CNESER'!$K$4:$K$76)-SUMIF('2020 CNESER'!$C$4:$C$76,'2021 CNESER'!$C40,'2020 CNESER'!$L$4:$L$76))/SUMIF('2020 CNESER'!$C$4:$C$76,'2021 CNESER'!$C40,'2020 CNESER'!$L$4:$L$76)</f>
        <v>4.4434137291280151E-2</v>
      </c>
      <c r="M46" s="36">
        <f t="shared" si="12"/>
        <v>7231.9097917385798</v>
      </c>
      <c r="N46" s="213">
        <f>I46/K46*100</f>
        <v>8.7561845587389247</v>
      </c>
      <c r="O46" s="192">
        <f t="shared" si="9"/>
        <v>-65.523159386878774</v>
      </c>
      <c r="P46" s="198">
        <f t="shared" si="10"/>
        <v>-5087226.8141771033</v>
      </c>
      <c r="Q46" s="218">
        <f t="shared" si="6"/>
        <v>0</v>
      </c>
      <c r="R46" s="198">
        <f t="shared" si="7"/>
        <v>0</v>
      </c>
      <c r="S46" s="138">
        <f t="shared" si="13"/>
        <v>73894.604487471603</v>
      </c>
      <c r="T46" s="96">
        <f t="shared" si="14"/>
        <v>0.907444693394035</v>
      </c>
      <c r="U46" s="93"/>
      <c r="V46" s="93"/>
      <c r="W46" s="93"/>
      <c r="X46" s="93"/>
      <c r="Y46" s="93"/>
      <c r="Z46" s="93"/>
      <c r="AA46" s="93"/>
      <c r="AB46" s="93"/>
      <c r="AC46" s="93"/>
      <c r="AD46" s="93"/>
      <c r="AE46" s="93"/>
      <c r="AF46" s="93"/>
      <c r="AG46" s="93"/>
      <c r="AH46" s="93"/>
      <c r="AI46" s="93"/>
      <c r="AJ46" s="93"/>
      <c r="AK46" s="93"/>
      <c r="AL46" s="93"/>
      <c r="AM46" s="93"/>
      <c r="AN46" s="93"/>
      <c r="AO46" s="93"/>
      <c r="AP46" s="93"/>
      <c r="AQ46" s="93"/>
      <c r="AR46" s="93"/>
      <c r="AS46" s="93"/>
      <c r="AT46" s="93"/>
      <c r="AU46" s="93"/>
      <c r="AV46" s="93"/>
      <c r="AW46" s="93"/>
      <c r="AX46" s="93"/>
      <c r="AY46" s="93"/>
      <c r="AZ46" s="93"/>
      <c r="BA46" s="93"/>
      <c r="BB46" s="93"/>
      <c r="BC46" s="93"/>
      <c r="BD46" s="93"/>
      <c r="BE46" s="93"/>
      <c r="BF46" s="93"/>
      <c r="BG46" s="93"/>
      <c r="BH46" s="93"/>
      <c r="BI46" s="93"/>
      <c r="BJ46" s="93"/>
      <c r="BK46" s="93"/>
      <c r="BL46" s="93"/>
      <c r="BM46" s="93"/>
      <c r="BN46" s="93"/>
      <c r="BO46" s="93"/>
      <c r="BP46" s="93"/>
      <c r="BQ46" s="93"/>
      <c r="BR46" s="93"/>
      <c r="BS46" s="93"/>
      <c r="BT46" s="93"/>
      <c r="BU46" s="93"/>
      <c r="BV46" s="93"/>
      <c r="BW46" s="93"/>
      <c r="BX46" s="93"/>
      <c r="BY46" s="93"/>
      <c r="BZ46" s="93"/>
      <c r="CA46" s="93"/>
      <c r="CB46" s="93"/>
      <c r="CC46" s="93"/>
      <c r="CD46" s="93"/>
      <c r="CE46" s="93"/>
      <c r="CF46" s="93"/>
      <c r="CG46" s="93"/>
      <c r="CH46" s="93"/>
    </row>
    <row r="47" spans="1:86">
      <c r="A47" s="140" t="s">
        <v>200</v>
      </c>
      <c r="B47" s="141" t="s">
        <v>6</v>
      </c>
      <c r="C47" s="141" t="s">
        <v>11</v>
      </c>
      <c r="D47" s="141" t="s">
        <v>3</v>
      </c>
      <c r="E47" s="208">
        <v>47089444</v>
      </c>
      <c r="F47" s="182">
        <f>(SUMIF(C$4:C$71,C47,E$4:E$71)-SUMIF('2020 CNESER'!C$4:C$71,C47,'2020 CNESER'!E$4:E$71))/SUMIF('2020 CNESER'!C$4:C$71,C47,'2020 CNESER'!E$4:E$71)</f>
        <v>2.5146404565122928E-2</v>
      </c>
      <c r="G47" s="208">
        <v>51392601</v>
      </c>
      <c r="H47" s="182">
        <f>(SUMIF(C$4:C$71,C47,G$4:G$71)-SUMIF('2020 CNESER'!C$4:C$71,C47,'2020 CNESER'!G$4:G$71))/SUMIF('2020 CNESER'!C$4:C$71,C47,'2020 CNESER'!G$4:G$71)</f>
        <v>1.2145246422442609E-2</v>
      </c>
      <c r="I47" s="142">
        <f>SUMIF('2020 CNESER'!$C$4:$C$77,C47,'2020 CNESER'!$I$4:$I$77)</f>
        <v>639</v>
      </c>
      <c r="J47" s="142">
        <f t="shared" si="11"/>
        <v>654.02655909284499</v>
      </c>
      <c r="K47" s="175">
        <v>7086</v>
      </c>
      <c r="L47" s="178">
        <f>(SUMIF('2021 CNESER'!$C$4:$C$76,'2021 CNESER'!$C41,'2021 CNESER'!$K$4:$K$76)-SUMIF('2020 CNESER'!$C$4:$C$76,'2021 CNESER'!$C41,'2020 CNESER'!$L$4:$L$76))/SUMIF('2020 CNESER'!$C$4:$C$76,'2021 CNESER'!$C41,'2020 CNESER'!$L$4:$L$76)</f>
        <v>3.0656083885531201E-2</v>
      </c>
      <c r="M47" s="36">
        <f t="shared" si="12"/>
        <v>7252.6955969517358</v>
      </c>
      <c r="N47" s="213">
        <f>J47/K47*100</f>
        <v>9.2298413645617412</v>
      </c>
      <c r="O47" s="192">
        <f t="shared" si="9"/>
        <v>-78.143724753421111</v>
      </c>
      <c r="P47" s="198">
        <f t="shared" si="10"/>
        <v>-4295037.520223096</v>
      </c>
      <c r="Q47" s="218">
        <f t="shared" si="6"/>
        <v>0</v>
      </c>
      <c r="R47" s="198">
        <f t="shared" si="7"/>
        <v>0</v>
      </c>
      <c r="S47" s="138">
        <f t="shared" si="13"/>
        <v>71999.284043318534</v>
      </c>
      <c r="T47" s="96">
        <f t="shared" si="14"/>
        <v>0.91626893918056418</v>
      </c>
      <c r="U47" s="93"/>
      <c r="V47" s="93"/>
      <c r="W47" s="93"/>
      <c r="X47" s="93"/>
      <c r="Y47" s="93"/>
      <c r="Z47" s="93"/>
      <c r="AA47" s="93"/>
      <c r="AB47" s="93"/>
      <c r="AC47" s="93"/>
      <c r="AD47" s="93"/>
      <c r="AE47" s="93"/>
      <c r="AF47" s="93"/>
      <c r="AG47" s="93"/>
      <c r="AH47" s="93"/>
      <c r="AI47" s="93"/>
      <c r="AJ47" s="93"/>
      <c r="AK47" s="93"/>
      <c r="AL47" s="93"/>
      <c r="AM47" s="93"/>
      <c r="AN47" s="93"/>
      <c r="AO47" s="93"/>
      <c r="AP47" s="93"/>
      <c r="AQ47" s="93"/>
      <c r="AR47" s="93"/>
      <c r="AS47" s="93"/>
      <c r="AT47" s="93"/>
      <c r="AU47" s="93"/>
      <c r="AV47" s="93"/>
      <c r="AW47" s="93"/>
      <c r="AX47" s="93"/>
      <c r="AY47" s="93"/>
      <c r="AZ47" s="93"/>
      <c r="BA47" s="93"/>
      <c r="BB47" s="93"/>
      <c r="BC47" s="93"/>
      <c r="BD47" s="93"/>
      <c r="BE47" s="93"/>
      <c r="BF47" s="93"/>
      <c r="BG47" s="93"/>
      <c r="BH47" s="93"/>
      <c r="BI47" s="93"/>
      <c r="BJ47" s="93"/>
      <c r="BK47" s="93"/>
      <c r="BL47" s="93"/>
      <c r="BM47" s="93"/>
      <c r="BN47" s="93"/>
      <c r="BO47" s="93"/>
      <c r="BP47" s="93"/>
      <c r="BQ47" s="93"/>
      <c r="BR47" s="93"/>
      <c r="BS47" s="93"/>
      <c r="BT47" s="93"/>
      <c r="BU47" s="93"/>
      <c r="BV47" s="93"/>
      <c r="BW47" s="93"/>
      <c r="BX47" s="93"/>
      <c r="BY47" s="93"/>
      <c r="BZ47" s="93"/>
      <c r="CA47" s="93"/>
      <c r="CB47" s="93"/>
      <c r="CC47" s="93"/>
      <c r="CD47" s="93"/>
      <c r="CE47" s="93"/>
      <c r="CF47" s="93"/>
      <c r="CG47" s="93"/>
      <c r="CH47" s="93"/>
    </row>
    <row r="48" spans="1:86">
      <c r="A48" s="140" t="s">
        <v>200</v>
      </c>
      <c r="B48" s="141" t="s">
        <v>18</v>
      </c>
      <c r="C48" s="141" t="s">
        <v>42</v>
      </c>
      <c r="D48" s="141" t="s">
        <v>57</v>
      </c>
      <c r="E48" s="208">
        <v>68927897</v>
      </c>
      <c r="F48" s="182">
        <f>(SUMIF(C$4:C$71,C48,E$4:E$71)-SUMIF('2020 CNESER'!C$4:C$71,C48,'2020 CNESER'!E$4:E$71))/SUMIF('2020 CNESER'!C$4:C$71,C48,'2020 CNESER'!E$4:E$71)</f>
        <v>1.1451230421812538E-2</v>
      </c>
      <c r="G48" s="208">
        <v>76044174</v>
      </c>
      <c r="H48" s="182">
        <f>(SUMIF(C$4:C$71,C48,G$4:G$71)-SUMIF('2020 CNESER'!C$4:C$71,C48,'2020 CNESER'!G$4:G$71))/SUMIF('2020 CNESER'!C$4:C$71,C48,'2020 CNESER'!G$4:G$71)</f>
        <v>1.4952049751595978E-2</v>
      </c>
      <c r="I48" s="142">
        <f>SUMIF('2020 CNESER'!$C$4:$C$77,C48,'2020 CNESER'!$I$4:$I$77)</f>
        <v>940</v>
      </c>
      <c r="J48" s="142">
        <f t="shared" si="11"/>
        <v>946.26236415063272</v>
      </c>
      <c r="K48" s="175">
        <v>10315</v>
      </c>
      <c r="L48" s="178">
        <f>(SUMIF('2021 CNESER'!$C$4:$C$76,'2021 CNESER'!$C44,'2021 CNESER'!$K$4:$K$76)-SUMIF('2020 CNESER'!$C$4:$C$76,'2021 CNESER'!$C44,'2020 CNESER'!$L$4:$L$76))/SUMIF('2020 CNESER'!$C$4:$C$76,'2021 CNESER'!$C44,'2020 CNESER'!$L$4:$L$76)</f>
        <v>4.1128457088517312E-2</v>
      </c>
      <c r="M48" s="36">
        <f t="shared" si="12"/>
        <v>7372.1933107125542</v>
      </c>
      <c r="N48" s="213">
        <f>I48/K48*100</f>
        <v>9.1129423170140562</v>
      </c>
      <c r="O48" s="192">
        <f t="shared" si="9"/>
        <v>-107.95705280274149</v>
      </c>
      <c r="P48" s="198">
        <f t="shared" si="10"/>
        <v>-7484850.3627012819</v>
      </c>
      <c r="Q48" s="218">
        <f t="shared" si="6"/>
        <v>0</v>
      </c>
      <c r="R48" s="198">
        <f t="shared" si="7"/>
        <v>0</v>
      </c>
      <c r="S48" s="138">
        <f t="shared" si="13"/>
        <v>72842.268287685554</v>
      </c>
      <c r="T48" s="96">
        <f t="shared" si="14"/>
        <v>0.90641916894251495</v>
      </c>
      <c r="U48" s="93"/>
      <c r="V48" s="93"/>
      <c r="W48" s="93"/>
      <c r="X48" s="93"/>
      <c r="Y48" s="93"/>
      <c r="Z48" s="93"/>
      <c r="AA48" s="93"/>
      <c r="AB48" s="93"/>
      <c r="AC48" s="93"/>
      <c r="AD48" s="93"/>
      <c r="AE48" s="93"/>
      <c r="AF48" s="93"/>
      <c r="AG48" s="93"/>
      <c r="AH48" s="93"/>
      <c r="AI48" s="93"/>
      <c r="AJ48" s="93"/>
      <c r="AK48" s="93"/>
      <c r="AL48" s="93"/>
      <c r="AM48" s="93"/>
      <c r="AN48" s="93"/>
      <c r="AO48" s="93"/>
      <c r="AP48" s="93"/>
      <c r="AQ48" s="93"/>
      <c r="AR48" s="93"/>
      <c r="AS48" s="93"/>
      <c r="AT48" s="93"/>
      <c r="AU48" s="93"/>
      <c r="AV48" s="93"/>
      <c r="AW48" s="93"/>
      <c r="AX48" s="93"/>
      <c r="AY48" s="93"/>
      <c r="AZ48" s="93"/>
      <c r="BA48" s="93"/>
      <c r="BB48" s="93"/>
      <c r="BC48" s="93"/>
      <c r="BD48" s="93"/>
      <c r="BE48" s="93"/>
      <c r="BF48" s="93"/>
      <c r="BG48" s="93"/>
      <c r="BH48" s="93"/>
      <c r="BI48" s="93"/>
      <c r="BJ48" s="93"/>
      <c r="BK48" s="93"/>
      <c r="BL48" s="93"/>
      <c r="BM48" s="93"/>
      <c r="BN48" s="93"/>
      <c r="BO48" s="93"/>
      <c r="BP48" s="93"/>
      <c r="BQ48" s="93"/>
      <c r="BR48" s="93"/>
      <c r="BS48" s="93"/>
      <c r="BT48" s="93"/>
      <c r="BU48" s="93"/>
      <c r="BV48" s="93"/>
      <c r="BW48" s="93"/>
      <c r="BX48" s="93"/>
      <c r="BY48" s="93"/>
      <c r="BZ48" s="93"/>
      <c r="CA48" s="93"/>
      <c r="CB48" s="93"/>
      <c r="CC48" s="93"/>
      <c r="CD48" s="93"/>
      <c r="CE48" s="93"/>
      <c r="CF48" s="93"/>
      <c r="CG48" s="93"/>
      <c r="CH48" s="93"/>
    </row>
    <row r="49" spans="1:86">
      <c r="A49" s="140" t="s">
        <v>200</v>
      </c>
      <c r="B49" s="141" t="s">
        <v>18</v>
      </c>
      <c r="C49" s="141" t="s">
        <v>30</v>
      </c>
      <c r="D49" s="141" t="s">
        <v>49</v>
      </c>
      <c r="E49" s="208">
        <v>57041455</v>
      </c>
      <c r="F49" s="182">
        <f>(SUMIF(C$4:C$71,C49,E$4:E$71)-SUMIF('2020 CNESER'!C$4:C$71,C49,'2020 CNESER'!E$4:E$71))/SUMIF('2020 CNESER'!C$4:C$71,C49,'2020 CNESER'!E$4:E$71)</f>
        <v>1.3205222982325827E-2</v>
      </c>
      <c r="G49" s="208">
        <v>61289460</v>
      </c>
      <c r="H49" s="182">
        <f>(SUMIF(C$4:C$71,C49,G$4:G$71)-SUMIF('2020 CNESER'!C$4:C$71,C49,'2020 CNESER'!G$4:G$71))/SUMIF('2020 CNESER'!C$4:C$71,C49,'2020 CNESER'!G$4:G$71)</f>
        <v>1.6534243490839533E-2</v>
      </c>
      <c r="I49" s="142">
        <f>SUMIF('2020 CNESER'!$C$4:$C$77,C49,'2020 CNESER'!$I$4:$I$77)</f>
        <v>746</v>
      </c>
      <c r="J49" s="142">
        <f t="shared" si="11"/>
        <v>752.84994004185512</v>
      </c>
      <c r="K49" s="175">
        <v>8154</v>
      </c>
      <c r="L49" s="178">
        <f>(SUMIF('2021 CNESER'!$C$4:$C$76,'2021 CNESER'!$C42,'2021 CNESER'!$K$4:$K$76)-SUMIF('2020 CNESER'!$C$4:$C$76,'2021 CNESER'!$C42,'2020 CNESER'!$L$4:$L$76))/SUMIF('2020 CNESER'!$C$4:$C$76,'2021 CNESER'!$C42,'2020 CNESER'!$L$4:$L$76)</f>
        <v>4.2062043795620438E-2</v>
      </c>
      <c r="M49" s="36">
        <f t="shared" si="12"/>
        <v>7516.4900662251657</v>
      </c>
      <c r="N49" s="213">
        <f>I49/K49*100</f>
        <v>9.1488839833210704</v>
      </c>
      <c r="O49" s="192">
        <f t="shared" si="9"/>
        <v>-90.170200950172671</v>
      </c>
      <c r="P49" s="198">
        <f t="shared" si="10"/>
        <v>-7093364.5139569789</v>
      </c>
      <c r="Q49" s="218">
        <f t="shared" si="6"/>
        <v>0</v>
      </c>
      <c r="R49" s="198">
        <f t="shared" si="7"/>
        <v>0</v>
      </c>
      <c r="S49" s="138">
        <f t="shared" si="13"/>
        <v>75767.363409537822</v>
      </c>
      <c r="T49" s="96">
        <f t="shared" si="14"/>
        <v>0.93068946928232033</v>
      </c>
      <c r="U49" s="93"/>
      <c r="V49" s="93"/>
      <c r="W49" s="93"/>
      <c r="X49" s="93"/>
      <c r="Y49" s="93"/>
      <c r="Z49" s="93"/>
      <c r="AA49" s="93"/>
      <c r="AB49" s="93"/>
      <c r="AC49" s="93"/>
      <c r="AD49" s="93"/>
      <c r="AE49" s="93"/>
      <c r="AF49" s="93"/>
      <c r="AG49" s="93"/>
      <c r="AH49" s="93"/>
      <c r="AI49" s="93"/>
      <c r="AJ49" s="93"/>
      <c r="AK49" s="93"/>
      <c r="AL49" s="93"/>
      <c r="AM49" s="93"/>
      <c r="AN49" s="93"/>
      <c r="AO49" s="93"/>
      <c r="AP49" s="93"/>
      <c r="AQ49" s="93"/>
      <c r="AR49" s="93"/>
      <c r="AS49" s="93"/>
      <c r="AT49" s="93"/>
      <c r="AU49" s="93"/>
      <c r="AV49" s="93"/>
      <c r="AW49" s="93"/>
      <c r="AX49" s="93"/>
      <c r="AY49" s="93"/>
      <c r="AZ49" s="93"/>
      <c r="BA49" s="93"/>
      <c r="BB49" s="93"/>
      <c r="BC49" s="93"/>
      <c r="BD49" s="93"/>
      <c r="BE49" s="93"/>
      <c r="BF49" s="93"/>
      <c r="BG49" s="93"/>
      <c r="BH49" s="93"/>
      <c r="BI49" s="93"/>
      <c r="BJ49" s="93"/>
      <c r="BK49" s="93"/>
      <c r="BL49" s="93"/>
      <c r="BM49" s="93"/>
      <c r="BN49" s="93"/>
      <c r="BO49" s="93"/>
      <c r="BP49" s="93"/>
      <c r="BQ49" s="93"/>
      <c r="BR49" s="93"/>
      <c r="BS49" s="93"/>
      <c r="BT49" s="93"/>
      <c r="BU49" s="93"/>
      <c r="BV49" s="93"/>
      <c r="BW49" s="93"/>
      <c r="BX49" s="93"/>
      <c r="BY49" s="93"/>
      <c r="BZ49" s="93"/>
      <c r="CA49" s="93"/>
      <c r="CB49" s="93"/>
      <c r="CC49" s="93"/>
      <c r="CD49" s="93"/>
      <c r="CE49" s="93"/>
      <c r="CF49" s="93"/>
      <c r="CG49" s="93"/>
      <c r="CH49" s="93"/>
    </row>
    <row r="50" spans="1:86">
      <c r="A50" s="140" t="s">
        <v>200</v>
      </c>
      <c r="B50" s="141" t="s">
        <v>4</v>
      </c>
      <c r="C50" s="141" t="s">
        <v>45</v>
      </c>
      <c r="D50" s="141" t="s">
        <v>45</v>
      </c>
      <c r="E50" s="208">
        <v>24931492</v>
      </c>
      <c r="F50" s="182">
        <f>(SUMIF(C$4:C$71,C50,E$4:E$71)-SUMIF('2020 CNESER'!C$4:C$71,C50,'2020 CNESER'!E$4:E$71))/SUMIF('2020 CNESER'!C$4:C$71,C50,'2020 CNESER'!E$4:E$71)</f>
        <v>3.9189151044272917E-3</v>
      </c>
      <c r="G50" s="208">
        <v>28406524</v>
      </c>
      <c r="H50" s="182">
        <f>(SUMIF(C$4:C$71,C50,G$4:G$71)-SUMIF('2020 CNESER'!C$4:C$71,C50,'2020 CNESER'!G$4:G$71))/SUMIF('2020 CNESER'!C$4:C$71,C50,'2020 CNESER'!G$4:G$71)</f>
        <v>3.9876359275743102E-2</v>
      </c>
      <c r="I50" s="142">
        <f>SUMIF('2020 CNESER'!$C$4:$C$77,C50,'2020 CNESER'!$I$4:$I$77)</f>
        <v>241</v>
      </c>
      <c r="J50" s="142">
        <f t="shared" si="11"/>
        <v>240.13525747624513</v>
      </c>
      <c r="K50" s="175">
        <v>3611</v>
      </c>
      <c r="L50" s="178">
        <f>(SUMIF('2021 CNESER'!$C$4:$C$76,'2021 CNESER'!$C51,'2021 CNESER'!$K$4:$K$76)-SUMIF('2020 CNESER'!$C$4:$C$76,'2021 CNESER'!$C51,'2020 CNESER'!$L$4:$L$76))/SUMIF('2020 CNESER'!$C$4:$C$76,'2021 CNESER'!$C51,'2020 CNESER'!$L$4:$L$76)</f>
        <v>4.163868368032236E-3</v>
      </c>
      <c r="M50" s="36">
        <f t="shared" si="12"/>
        <v>7866.6640819717531</v>
      </c>
      <c r="N50" s="213">
        <f>I50/K50*100</f>
        <v>6.6740515092772084</v>
      </c>
      <c r="O50" s="199">
        <f t="shared" si="9"/>
        <v>53.332554378067556</v>
      </c>
      <c r="P50" s="198">
        <f t="shared" si="10"/>
        <v>-4405775.8027837425</v>
      </c>
      <c r="Q50" s="217">
        <f t="shared" si="6"/>
        <v>3199953.2626840533</v>
      </c>
      <c r="R50" s="198">
        <f t="shared" si="7"/>
        <v>0</v>
      </c>
      <c r="S50" s="138">
        <f t="shared" si="13"/>
        <v>103822.70501226292</v>
      </c>
      <c r="T50" s="96">
        <f t="shared" si="14"/>
        <v>0.87766782025143242</v>
      </c>
      <c r="U50" s="97"/>
      <c r="V50" s="144"/>
      <c r="W50" s="145"/>
      <c r="X50" s="93"/>
      <c r="Y50" s="93"/>
      <c r="Z50" s="93"/>
      <c r="AA50" s="93"/>
      <c r="AB50" s="93"/>
      <c r="AC50" s="93"/>
      <c r="AD50" s="93"/>
      <c r="AE50" s="93"/>
      <c r="AF50" s="93"/>
      <c r="AG50" s="93"/>
      <c r="AH50" s="93"/>
      <c r="AI50" s="93"/>
      <c r="AJ50" s="93"/>
      <c r="AK50" s="93"/>
      <c r="AL50" s="93"/>
      <c r="AM50" s="93"/>
      <c r="AN50" s="93"/>
      <c r="AO50" s="93"/>
      <c r="AP50" s="93"/>
      <c r="AQ50" s="93"/>
      <c r="AR50" s="93"/>
      <c r="AS50" s="93"/>
      <c r="AT50" s="93"/>
      <c r="AU50" s="93"/>
      <c r="AV50" s="93"/>
      <c r="AW50" s="93"/>
      <c r="AX50" s="93"/>
      <c r="AY50" s="93"/>
      <c r="AZ50" s="93"/>
      <c r="BA50" s="93"/>
      <c r="BB50" s="93"/>
      <c r="BC50" s="93"/>
      <c r="BD50" s="93"/>
      <c r="BE50" s="93"/>
      <c r="BF50" s="93"/>
      <c r="BG50" s="93"/>
      <c r="BH50" s="93"/>
      <c r="BI50" s="93"/>
      <c r="BJ50" s="93"/>
      <c r="BK50" s="93"/>
      <c r="BL50" s="93"/>
      <c r="BM50" s="93"/>
      <c r="BN50" s="93"/>
      <c r="BO50" s="93"/>
      <c r="BP50" s="93"/>
      <c r="BQ50" s="93"/>
      <c r="BR50" s="93"/>
      <c r="BS50" s="93"/>
      <c r="BT50" s="93"/>
      <c r="BU50" s="93"/>
      <c r="BV50" s="93"/>
      <c r="BW50" s="93"/>
      <c r="BX50" s="93"/>
      <c r="BY50" s="93"/>
      <c r="BZ50" s="93"/>
      <c r="CA50" s="93"/>
      <c r="CB50" s="93"/>
      <c r="CC50" s="93"/>
      <c r="CD50" s="93"/>
      <c r="CE50" s="93"/>
      <c r="CF50" s="93"/>
      <c r="CG50" s="93"/>
      <c r="CH50" s="93"/>
    </row>
    <row r="51" spans="1:86">
      <c r="A51" s="140" t="s">
        <v>200</v>
      </c>
      <c r="B51" s="141" t="s">
        <v>4</v>
      </c>
      <c r="C51" s="141" t="s">
        <v>31</v>
      </c>
      <c r="D51" s="141" t="s">
        <v>54</v>
      </c>
      <c r="E51" s="208">
        <v>57110383</v>
      </c>
      <c r="F51" s="182">
        <f>(SUMIF(C$4:C$71,C51,E$4:E$71)-SUMIF('2020 CNESER'!C$4:C$71,C51,'2020 CNESER'!E$4:E$71))/SUMIF('2020 CNESER'!C$4:C$71,C51,'2020 CNESER'!E$4:E$71)</f>
        <v>1.1248599980766751E-2</v>
      </c>
      <c r="G51" s="208">
        <v>63767893</v>
      </c>
      <c r="H51" s="182">
        <f>(SUMIF(C$4:C$71,C51,G$4:G$71)-SUMIF('2020 CNESER'!C$4:C$71,C51,'2020 CNESER'!G$4:G$71))/SUMIF('2020 CNESER'!C$4:C$71,C51,'2020 CNESER'!G$4:G$71)</f>
        <v>1.146527506102619E-2</v>
      </c>
      <c r="I51" s="142">
        <f>SUMIF('2020 CNESER'!$C$4:$C$77,C51,'2020 CNESER'!$I$4:$I$77)</f>
        <v>764</v>
      </c>
      <c r="J51" s="142">
        <f t="shared" si="11"/>
        <v>768.99582591858973</v>
      </c>
      <c r="K51" s="175">
        <v>7476</v>
      </c>
      <c r="L51" s="178">
        <f>(SUMIF('2021 CNESER'!$C$4:$C$76,'2021 CNESER'!$C49,'2021 CNESER'!$K$4:$K$76)-SUMIF('2020 CNESER'!$C$4:$C$76,'2021 CNESER'!$C49,'2020 CNESER'!$L$4:$L$76))/SUMIF('2020 CNESER'!$C$4:$C$76,'2021 CNESER'!$C49,'2020 CNESER'!$L$4:$L$76)</f>
        <v>-1.5336312039608743E-2</v>
      </c>
      <c r="M51" s="36">
        <f t="shared" si="12"/>
        <v>8529.6807116104865</v>
      </c>
      <c r="N51" s="213">
        <f>I51/K51*100</f>
        <v>10.219368646334939</v>
      </c>
      <c r="O51" s="192">
        <f t="shared" si="9"/>
        <v>-161.41749265277929</v>
      </c>
      <c r="P51" s="198">
        <f t="shared" si="10"/>
        <v>-14078168.956137158</v>
      </c>
      <c r="Q51" s="218">
        <f t="shared" si="6"/>
        <v>0</v>
      </c>
      <c r="R51" s="198">
        <f t="shared" si="7"/>
        <v>0</v>
      </c>
      <c r="S51" s="138">
        <f t="shared" si="13"/>
        <v>74266.180745233374</v>
      </c>
      <c r="T51" s="96">
        <f t="shared" si="14"/>
        <v>0.89559777363194359</v>
      </c>
      <c r="U51" s="93"/>
      <c r="V51" s="93"/>
      <c r="W51" s="93"/>
      <c r="X51" s="93"/>
      <c r="Y51" s="93"/>
      <c r="Z51" s="93"/>
      <c r="AA51" s="93"/>
      <c r="AB51" s="93"/>
      <c r="AC51" s="93"/>
      <c r="AD51" s="93"/>
      <c r="AE51" s="93"/>
      <c r="AF51" s="93"/>
      <c r="AG51" s="93"/>
      <c r="AH51" s="93"/>
      <c r="AI51" s="93"/>
      <c r="AJ51" s="93"/>
      <c r="AK51" s="93"/>
      <c r="AL51" s="93"/>
      <c r="AM51" s="93"/>
      <c r="AN51" s="93"/>
      <c r="AO51" s="93"/>
      <c r="AP51" s="93"/>
      <c r="AQ51" s="93"/>
      <c r="AR51" s="93"/>
      <c r="AS51" s="93"/>
      <c r="AT51" s="93"/>
      <c r="AU51" s="93"/>
      <c r="AV51" s="93"/>
      <c r="AW51" s="93"/>
      <c r="AX51" s="93"/>
      <c r="AY51" s="93"/>
      <c r="AZ51" s="93"/>
      <c r="BA51" s="93"/>
      <c r="BB51" s="93"/>
      <c r="BC51" s="93"/>
      <c r="BD51" s="93"/>
      <c r="BE51" s="93"/>
      <c r="BF51" s="93"/>
      <c r="BG51" s="93"/>
      <c r="BH51" s="93"/>
      <c r="BI51" s="93"/>
      <c r="BJ51" s="93"/>
      <c r="BK51" s="93"/>
      <c r="BL51" s="93"/>
      <c r="BM51" s="93"/>
      <c r="BN51" s="93"/>
      <c r="BO51" s="93"/>
      <c r="BP51" s="93"/>
      <c r="BQ51" s="93"/>
      <c r="BR51" s="93"/>
      <c r="BS51" s="93"/>
      <c r="BT51" s="93"/>
      <c r="BU51" s="93"/>
      <c r="BV51" s="93"/>
      <c r="BW51" s="93"/>
      <c r="BX51" s="93"/>
      <c r="BY51" s="93"/>
      <c r="BZ51" s="93"/>
      <c r="CA51" s="93"/>
      <c r="CB51" s="93"/>
      <c r="CC51" s="93"/>
      <c r="CD51" s="93"/>
      <c r="CE51" s="93"/>
      <c r="CF51" s="93"/>
      <c r="CG51" s="93"/>
      <c r="CH51" s="93"/>
    </row>
    <row r="52" spans="1:86">
      <c r="A52" s="140" t="s">
        <v>200</v>
      </c>
      <c r="B52" s="141" t="s">
        <v>18</v>
      </c>
      <c r="C52" s="141" t="s">
        <v>22</v>
      </c>
      <c r="D52" s="141" t="s">
        <v>250</v>
      </c>
      <c r="E52" s="208">
        <v>40806717</v>
      </c>
      <c r="F52" s="182">
        <f>(SUMIF(C$4:C$71,C52,E$4:E$71)-SUMIF('2020 CNESER'!C$4:C$71,C52,'2020 CNESER'!E$4:E$71))/SUMIF('2020 CNESER'!C$4:C$71,C52,'2020 CNESER'!E$4:E$71)</f>
        <v>2.0946268911761604E-2</v>
      </c>
      <c r="G52" s="208">
        <v>41646777</v>
      </c>
      <c r="H52" s="182">
        <f>(SUMIF(C$4:C$71,C52,G$4:G$71)-SUMIF('2020 CNESER'!C$4:C$71,C52,'2020 CNESER'!G$4:G$71))/SUMIF('2020 CNESER'!C$4:C$71,C52,'2020 CNESER'!G$4:G$71)</f>
        <v>2.0245265854846251E-2</v>
      </c>
      <c r="I52" s="142">
        <f>SUMIF('2020 CNESER'!$C$4:$C$77,C52,'2020 CNESER'!$I$4:$I$77)</f>
        <v>593</v>
      </c>
      <c r="J52" s="142">
        <f t="shared" si="11"/>
        <v>603.16513609480262</v>
      </c>
      <c r="K52" s="175">
        <v>4474</v>
      </c>
      <c r="L52" s="178">
        <f>(SUMIF('2021 CNESER'!$C$4:$C$76,'2021 CNESER'!$C52,'2021 CNESER'!$K$4:$K$76)-SUMIF('2020 CNESER'!$C$4:$C$76,'2021 CNESER'!$C52,'2020 CNESER'!$L$4:$L$76))/SUMIF('2020 CNESER'!$C$4:$C$76,'2021 CNESER'!$C52,'2020 CNESER'!$L$4:$L$76)</f>
        <v>-3.9914163090128754E-2</v>
      </c>
      <c r="M52" s="36">
        <f t="shared" si="12"/>
        <v>9308.6224854716129</v>
      </c>
      <c r="N52" s="213">
        <f>J52/K52*100</f>
        <v>13.48156316707203</v>
      </c>
      <c r="O52" s="192">
        <f t="shared" si="9"/>
        <v>-239.56087405210116</v>
      </c>
      <c r="P52" s="198">
        <f t="shared" si="10"/>
        <v>-11910042.734049976</v>
      </c>
      <c r="Q52" s="218">
        <f t="shared" si="6"/>
        <v>0</v>
      </c>
      <c r="R52" s="198">
        <f t="shared" si="7"/>
        <v>0</v>
      </c>
      <c r="S52" s="138">
        <f t="shared" si="13"/>
        <v>67654.303204928932</v>
      </c>
      <c r="T52" s="96">
        <f t="shared" si="14"/>
        <v>0.97982893130001392</v>
      </c>
      <c r="U52" s="93"/>
      <c r="V52" s="93"/>
      <c r="W52" s="93"/>
      <c r="X52" s="93"/>
      <c r="Y52" s="93"/>
      <c r="Z52" s="93"/>
      <c r="AA52" s="93"/>
      <c r="AB52" s="93"/>
      <c r="AC52" s="93"/>
      <c r="AD52" s="93"/>
      <c r="AE52" s="93"/>
      <c r="AF52" s="93"/>
      <c r="AG52" s="93"/>
      <c r="AH52" s="93"/>
      <c r="AI52" s="93"/>
      <c r="AJ52" s="93"/>
      <c r="AK52" s="93"/>
      <c r="AL52" s="93"/>
      <c r="AM52" s="93"/>
      <c r="AN52" s="93"/>
      <c r="AO52" s="93"/>
      <c r="AP52" s="93"/>
      <c r="AQ52" s="93"/>
      <c r="AR52" s="93"/>
      <c r="AS52" s="93"/>
      <c r="AT52" s="93"/>
      <c r="AU52" s="93"/>
      <c r="AV52" s="93"/>
      <c r="AW52" s="93"/>
      <c r="AX52" s="93"/>
      <c r="AY52" s="93"/>
      <c r="AZ52" s="93"/>
      <c r="BA52" s="93"/>
      <c r="BB52" s="93"/>
      <c r="BC52" s="93"/>
      <c r="BD52" s="93"/>
      <c r="BE52" s="93"/>
      <c r="BF52" s="93"/>
      <c r="BG52" s="93"/>
      <c r="BH52" s="93"/>
      <c r="BI52" s="93"/>
      <c r="BJ52" s="93"/>
      <c r="BK52" s="93"/>
      <c r="BL52" s="93"/>
      <c r="BM52" s="93"/>
      <c r="BN52" s="93"/>
      <c r="BO52" s="93"/>
      <c r="BP52" s="93"/>
      <c r="BQ52" s="93"/>
      <c r="BR52" s="93"/>
      <c r="BS52" s="93"/>
      <c r="BT52" s="93"/>
      <c r="BU52" s="93"/>
      <c r="BV52" s="93"/>
      <c r="BW52" s="93"/>
      <c r="BX52" s="93"/>
      <c r="BY52" s="93"/>
      <c r="BZ52" s="93"/>
      <c r="CA52" s="93"/>
      <c r="CB52" s="93"/>
      <c r="CC52" s="93"/>
      <c r="CD52" s="93"/>
      <c r="CE52" s="93"/>
      <c r="CF52" s="93"/>
      <c r="CG52" s="93"/>
      <c r="CH52" s="93"/>
    </row>
    <row r="53" spans="1:86">
      <c r="A53" s="140" t="s">
        <v>200</v>
      </c>
      <c r="B53" s="141" t="s">
        <v>8</v>
      </c>
      <c r="C53" s="141" t="s">
        <v>50</v>
      </c>
      <c r="D53" s="141" t="s">
        <v>256</v>
      </c>
      <c r="E53" s="208">
        <v>25202956</v>
      </c>
      <c r="F53" s="182">
        <f>(SUMIF(C$4:C$71,C53,E$4:E$71)-SUMIF('2020 CNESER'!C$4:C$71,C53,'2020 CNESER'!E$4:E$71))/SUMIF('2020 CNESER'!C$4:C$71,C53,'2020 CNESER'!E$4:E$71)</f>
        <v>8.0348150387073974E-3</v>
      </c>
      <c r="G53" s="208">
        <v>27527087</v>
      </c>
      <c r="H53" s="182">
        <f>(SUMIF(C$4:C$71,C53,G$4:G$71)-SUMIF('2020 CNESER'!C$4:C$71,C53,'2020 CNESER'!G$4:G$71))/SUMIF('2020 CNESER'!C$4:C$71,C53,'2020 CNESER'!G$4:G$71)</f>
        <v>6.5838942624753096E-3</v>
      </c>
      <c r="I53" s="142">
        <f>SUMIF('2020 CNESER'!$C$4:$C$77,C53,'2020 CNESER'!$I$4:$I$77)</f>
        <v>220</v>
      </c>
      <c r="J53" s="142">
        <f t="shared" si="11"/>
        <v>220.85472256481134</v>
      </c>
      <c r="K53" s="175">
        <v>2924</v>
      </c>
      <c r="L53" s="178">
        <f>(SUMIF('2021 CNESER'!$C$4:$C$76,'2021 CNESER'!$C53,'2021 CNESER'!$K$4:$K$76)-SUMIF('2020 CNESER'!$C$4:$C$76,'2021 CNESER'!$C53,'2020 CNESER'!$L$4:$L$76))/SUMIF('2020 CNESER'!$C$4:$C$76,'2021 CNESER'!$C53,'2020 CNESER'!$L$4:$L$76)</f>
        <v>2.704601334738321E-2</v>
      </c>
      <c r="M53" s="36">
        <f t="shared" si="12"/>
        <v>9414.1884404924767</v>
      </c>
      <c r="N53" s="213">
        <f t="shared" ref="N53:N63" si="15">I53/K53*100</f>
        <v>7.5239398084815319</v>
      </c>
      <c r="O53" s="199">
        <f t="shared" si="9"/>
        <v>16.780248873020355</v>
      </c>
      <c r="P53" s="198">
        <f t="shared" si="10"/>
        <v>-8092529.3349043652</v>
      </c>
      <c r="Q53" s="217">
        <f t="shared" si="6"/>
        <v>1006814.9323812213</v>
      </c>
      <c r="R53" s="198">
        <f t="shared" si="7"/>
        <v>0</v>
      </c>
      <c r="S53" s="138">
        <f t="shared" si="13"/>
        <v>114115.54033038174</v>
      </c>
      <c r="T53" s="96">
        <f t="shared" si="14"/>
        <v>0.91556930815091331</v>
      </c>
      <c r="U53" s="93"/>
      <c r="V53" s="93"/>
      <c r="W53" s="93"/>
      <c r="X53" s="93"/>
      <c r="Y53" s="93"/>
      <c r="Z53" s="93"/>
      <c r="AA53" s="93"/>
      <c r="AB53" s="93"/>
      <c r="AC53" s="93"/>
      <c r="AD53" s="93"/>
      <c r="AE53" s="93"/>
      <c r="AF53" s="93"/>
      <c r="AG53" s="93"/>
      <c r="AH53" s="93"/>
      <c r="AI53" s="93"/>
      <c r="AJ53" s="93"/>
      <c r="AK53" s="93"/>
      <c r="AL53" s="93"/>
      <c r="AM53" s="93"/>
      <c r="AN53" s="93"/>
      <c r="AO53" s="93"/>
      <c r="AP53" s="93"/>
      <c r="AQ53" s="93"/>
      <c r="AR53" s="93"/>
      <c r="AS53" s="93"/>
      <c r="AT53" s="93"/>
      <c r="AU53" s="93"/>
      <c r="AV53" s="93"/>
      <c r="AW53" s="93"/>
      <c r="AX53" s="93"/>
      <c r="AY53" s="93"/>
      <c r="AZ53" s="93"/>
      <c r="BA53" s="93"/>
      <c r="BB53" s="93"/>
      <c r="BC53" s="93"/>
      <c r="BD53" s="93"/>
      <c r="BE53" s="93"/>
      <c r="BF53" s="93"/>
      <c r="BG53" s="93"/>
      <c r="BH53" s="93"/>
      <c r="BI53" s="93"/>
      <c r="BJ53" s="93"/>
      <c r="BK53" s="93"/>
      <c r="BL53" s="93"/>
      <c r="BM53" s="93"/>
      <c r="BN53" s="93"/>
      <c r="BO53" s="93"/>
      <c r="BP53" s="93"/>
      <c r="BQ53" s="93"/>
      <c r="BR53" s="93"/>
      <c r="BS53" s="93"/>
      <c r="BT53" s="93"/>
      <c r="BU53" s="93"/>
      <c r="BV53" s="93"/>
      <c r="BW53" s="93"/>
      <c r="BX53" s="93"/>
      <c r="BY53" s="93"/>
      <c r="BZ53" s="93"/>
      <c r="CA53" s="93"/>
      <c r="CB53" s="93"/>
      <c r="CC53" s="93"/>
      <c r="CD53" s="93"/>
      <c r="CE53" s="93"/>
      <c r="CF53" s="93"/>
      <c r="CG53" s="93"/>
      <c r="CH53" s="93"/>
    </row>
    <row r="54" spans="1:86">
      <c r="A54" s="140" t="s">
        <v>200</v>
      </c>
      <c r="B54" s="141" t="s">
        <v>4</v>
      </c>
      <c r="C54" s="141" t="s">
        <v>24</v>
      </c>
      <c r="D54" s="141" t="s">
        <v>247</v>
      </c>
      <c r="E54" s="208">
        <v>65975837</v>
      </c>
      <c r="F54" s="182">
        <f>(SUMIF(C$4:C$71,C54,E$4:E$71)-SUMIF('2020 CNESER'!C$4:C$71,C54,'2020 CNESER'!E$4:E$71))/SUMIF('2020 CNESER'!C$4:C$71,C54,'2020 CNESER'!E$4:E$71)</f>
        <v>7.935741401695345E-3</v>
      </c>
      <c r="G54" s="208">
        <v>72466072</v>
      </c>
      <c r="H54" s="182">
        <f>(SUMIF(C$4:C$71,C54,G$4:G$71)-SUMIF('2020 CNESER'!C$4:C$71,C54,'2020 CNESER'!G$4:G$71))/SUMIF('2020 CNESER'!C$4:C$71,C54,'2020 CNESER'!G$4:G$71)</f>
        <v>1.1610334050107481E-2</v>
      </c>
      <c r="I54" s="142">
        <f>SUMIF('2020 CNESER'!$C$4:$C$77,C54,'2020 CNESER'!$I$4:$I$77)</f>
        <v>945</v>
      </c>
      <c r="J54" s="142">
        <f t="shared" si="11"/>
        <v>947.1285359865401</v>
      </c>
      <c r="K54" s="175">
        <v>7116</v>
      </c>
      <c r="L54" s="178">
        <f>(SUMIF('2021 CNESER'!$C$4:$C$76,'2021 CNESER'!$C48,'2021 CNESER'!$K$4:$K$76)-SUMIF('2020 CNESER'!$C$4:$C$76,'2021 CNESER'!$C48,'2020 CNESER'!$L$4:$L$76))/SUMIF('2020 CNESER'!$C$4:$C$76,'2021 CNESER'!$C48,'2020 CNESER'!$L$4:$L$76)</f>
        <v>7.6194197518804335E-3</v>
      </c>
      <c r="M54" s="36">
        <f t="shared" si="12"/>
        <v>10183.540191118605</v>
      </c>
      <c r="N54" s="213">
        <f t="shared" si="15"/>
        <v>13.279932546374368</v>
      </c>
      <c r="O54" s="192">
        <f t="shared" si="9"/>
        <v>-368.80758634508652</v>
      </c>
      <c r="P54" s="198">
        <f t="shared" si="10"/>
        <v>-25169111.553754948</v>
      </c>
      <c r="Q54" s="218">
        <f t="shared" si="6"/>
        <v>0</v>
      </c>
      <c r="R54" s="198">
        <f t="shared" si="7"/>
        <v>0</v>
      </c>
      <c r="S54" s="138">
        <f t="shared" si="13"/>
        <v>69658.799722762866</v>
      </c>
      <c r="T54" s="96">
        <f t="shared" si="14"/>
        <v>0.91043760451097722</v>
      </c>
      <c r="U54" s="93"/>
      <c r="V54" s="93"/>
      <c r="W54" s="93"/>
      <c r="X54" s="93"/>
      <c r="Y54" s="93"/>
      <c r="Z54" s="93"/>
      <c r="AA54" s="93"/>
      <c r="AB54" s="93"/>
      <c r="AC54" s="93"/>
      <c r="AD54" s="93"/>
      <c r="AE54" s="93"/>
      <c r="AF54" s="93"/>
      <c r="AG54" s="93"/>
      <c r="AH54" s="93"/>
      <c r="AI54" s="93"/>
      <c r="AJ54" s="93"/>
      <c r="AK54" s="93"/>
      <c r="AL54" s="93"/>
      <c r="AM54" s="93"/>
      <c r="AN54" s="93"/>
      <c r="AO54" s="93"/>
      <c r="AP54" s="93"/>
      <c r="AQ54" s="93"/>
      <c r="AR54" s="93"/>
      <c r="AS54" s="93"/>
      <c r="AT54" s="93"/>
      <c r="AU54" s="93"/>
      <c r="AV54" s="93"/>
      <c r="AW54" s="93"/>
      <c r="AX54" s="93"/>
      <c r="AY54" s="93"/>
      <c r="AZ54" s="93"/>
      <c r="BA54" s="93"/>
      <c r="BB54" s="93"/>
      <c r="BC54" s="93"/>
      <c r="BD54" s="93"/>
      <c r="BE54" s="93"/>
      <c r="BF54" s="93"/>
      <c r="BG54" s="93"/>
      <c r="BH54" s="93"/>
      <c r="BI54" s="93"/>
      <c r="BJ54" s="93"/>
      <c r="BK54" s="93"/>
      <c r="BL54" s="93"/>
      <c r="BM54" s="93"/>
      <c r="BN54" s="93"/>
      <c r="BO54" s="93"/>
      <c r="BP54" s="93"/>
      <c r="BQ54" s="93"/>
      <c r="BR54" s="93"/>
      <c r="BS54" s="93"/>
      <c r="BT54" s="93"/>
      <c r="BU54" s="93"/>
      <c r="BV54" s="93"/>
      <c r="BW54" s="93"/>
      <c r="BX54" s="93"/>
      <c r="BY54" s="93"/>
      <c r="BZ54" s="93"/>
      <c r="CA54" s="93"/>
      <c r="CB54" s="93"/>
      <c r="CC54" s="93"/>
      <c r="CD54" s="93"/>
      <c r="CE54" s="93"/>
      <c r="CF54" s="93"/>
      <c r="CG54" s="93"/>
      <c r="CH54" s="93"/>
    </row>
    <row r="55" spans="1:86">
      <c r="A55" s="140" t="s">
        <v>200</v>
      </c>
      <c r="B55" s="141" t="s">
        <v>6</v>
      </c>
      <c r="C55" s="141" t="s">
        <v>16</v>
      </c>
      <c r="D55" s="141" t="s">
        <v>246</v>
      </c>
      <c r="E55" s="208">
        <v>60099436</v>
      </c>
      <c r="F55" s="182">
        <f>(SUMIF(C$4:C$71,C55,E$4:E$71)-SUMIF('2020 CNESER'!C$4:C$71,C55,'2020 CNESER'!E$4:E$71))/SUMIF('2020 CNESER'!C$4:C$71,C55,'2020 CNESER'!E$4:E$71)</f>
        <v>1.6091352372798455E-2</v>
      </c>
      <c r="G55" s="208">
        <v>65487052</v>
      </c>
      <c r="H55" s="182">
        <f>(SUMIF(C$4:C$71,C55,G$4:G$71)-SUMIF('2020 CNESER'!C$4:C$71,C55,'2020 CNESER'!G$4:G$71))/SUMIF('2020 CNESER'!C$4:C$71,C55,'2020 CNESER'!G$4:G$71)</f>
        <v>1.661366500803237E-2</v>
      </c>
      <c r="I55" s="142">
        <f>SUMIF('2020 CNESER'!$C$4:$C$77,C55,'2020 CNESER'!$I$4:$I$77)</f>
        <v>816</v>
      </c>
      <c r="J55" s="142">
        <f t="shared" si="11"/>
        <v>826.10807643470753</v>
      </c>
      <c r="K55" s="175">
        <v>10799</v>
      </c>
      <c r="L55" s="178">
        <f>(SUMIF('2021 CNESER'!$C$4:$C$76,'2021 CNESER'!$C38,'2021 CNESER'!$K$4:$K$76)-SUMIF('2020 CNESER'!$C$4:$C$76,'2021 CNESER'!$C38,'2020 CNESER'!$L$4:$L$76))/SUMIF('2020 CNESER'!$C$4:$C$76,'2021 CNESER'!$C38,'2020 CNESER'!$L$4:$L$76)</f>
        <v>-5.0403587443946185E-2</v>
      </c>
      <c r="M55" s="36">
        <f t="shared" si="12"/>
        <v>6064.1774238355401</v>
      </c>
      <c r="N55" s="213">
        <f t="shared" si="15"/>
        <v>7.5562552088156307</v>
      </c>
      <c r="O55" s="199">
        <f t="shared" si="9"/>
        <v>51.532161785930043</v>
      </c>
      <c r="P55" s="197">
        <f t="shared" si="10"/>
        <v>6289209.3629848659</v>
      </c>
      <c r="Q55" s="217">
        <f t="shared" si="6"/>
        <v>3091929.7071558028</v>
      </c>
      <c r="R55" s="197">
        <f t="shared" si="7"/>
        <v>3197279.6558290632</v>
      </c>
      <c r="S55" s="138">
        <f t="shared" si="13"/>
        <v>72750.088898023299</v>
      </c>
      <c r="T55" s="96">
        <f t="shared" si="14"/>
        <v>0.91773005753870251</v>
      </c>
      <c r="U55" s="93"/>
      <c r="V55" s="93"/>
      <c r="W55" s="93"/>
      <c r="X55" s="93"/>
      <c r="Y55" s="93"/>
      <c r="Z55" s="93"/>
      <c r="AA55" s="93"/>
      <c r="AB55" s="93"/>
      <c r="AC55" s="93"/>
      <c r="AD55" s="93"/>
      <c r="AE55" s="93"/>
      <c r="AF55" s="93"/>
      <c r="AG55" s="93"/>
      <c r="AH55" s="93"/>
      <c r="AI55" s="93"/>
      <c r="AJ55" s="93"/>
      <c r="AK55" s="93"/>
      <c r="AL55" s="93"/>
      <c r="AM55" s="93"/>
      <c r="AN55" s="93"/>
      <c r="AO55" s="93"/>
      <c r="AP55" s="93"/>
      <c r="AQ55" s="93"/>
      <c r="AR55" s="93"/>
      <c r="AS55" s="93"/>
      <c r="AT55" s="93"/>
      <c r="AU55" s="93"/>
      <c r="AV55" s="93"/>
      <c r="AW55" s="93"/>
      <c r="AX55" s="93"/>
      <c r="AY55" s="93"/>
      <c r="AZ55" s="93"/>
      <c r="BA55" s="93"/>
      <c r="BB55" s="93"/>
      <c r="BC55" s="93"/>
      <c r="BD55" s="93"/>
      <c r="BE55" s="93"/>
      <c r="BF55" s="93"/>
      <c r="BG55" s="93"/>
      <c r="BH55" s="93"/>
      <c r="BI55" s="93"/>
      <c r="BJ55" s="93"/>
      <c r="BK55" s="93"/>
      <c r="BL55" s="93"/>
      <c r="BM55" s="93"/>
      <c r="BN55" s="93"/>
      <c r="BO55" s="93"/>
      <c r="BP55" s="93"/>
      <c r="BQ55" s="93"/>
      <c r="BR55" s="93"/>
      <c r="BS55" s="93"/>
      <c r="BT55" s="93"/>
      <c r="BU55" s="93"/>
      <c r="BV55" s="93"/>
      <c r="BW55" s="93"/>
      <c r="BX55" s="93"/>
      <c r="BY55" s="93"/>
      <c r="BZ55" s="93"/>
      <c r="CA55" s="93"/>
      <c r="CB55" s="93"/>
      <c r="CC55" s="93"/>
      <c r="CD55" s="93"/>
      <c r="CE55" s="93"/>
      <c r="CF55" s="93"/>
      <c r="CG55" s="93"/>
      <c r="CH55" s="93"/>
    </row>
    <row r="56" spans="1:86">
      <c r="A56" s="146" t="s">
        <v>198</v>
      </c>
      <c r="B56" s="147" t="s">
        <v>18</v>
      </c>
      <c r="C56" s="147" t="s">
        <v>161</v>
      </c>
      <c r="D56" s="147" t="s">
        <v>243</v>
      </c>
      <c r="E56" s="209">
        <v>282802701</v>
      </c>
      <c r="F56" s="184">
        <f>(SUMIF(C$4:C$71,C56,E$4:E$71)-SUMIF('2020 CNESER'!C$4:C$71,C56,'2020 CNESER'!E$4:E$71))/SUMIF('2020 CNESER'!C$4:C$71,C56,'2020 CNESER'!E$4:E$71)</f>
        <v>1.0782559362276354E-2</v>
      </c>
      <c r="G56" s="209">
        <v>306810961</v>
      </c>
      <c r="H56" s="184">
        <f>(SUMIF(C$4:C$71,C56,G$4:G$71)-SUMIF('2020 CNESER'!C$4:C$71,C56,'2020 CNESER'!G$4:G$71))/SUMIF('2020 CNESER'!C$4:C$71,C56,'2020 CNESER'!G$4:G$71)</f>
        <v>1.0226368890143321E-2</v>
      </c>
      <c r="I56" s="148">
        <f>SUMIF('2020 CNESER'!$C$4:$C$77,C56,'2020 CNESER'!$I$4:$I$77)</f>
        <v>4111</v>
      </c>
      <c r="J56" s="148">
        <f t="shared" si="11"/>
        <v>4133.5420117557433</v>
      </c>
      <c r="K56" s="174">
        <v>44634</v>
      </c>
      <c r="L56" s="179">
        <f>(SUMIF('2021 CNESER'!$C$4:$C$76,'2021 CNESER'!$C56,'2021 CNESER'!$K$4:$K$76)-SUMIF('2020 CNESER'!$C$4:$C$76,'2021 CNESER'!$C56,'2020 CNESER'!$L$4:$L$76))/SUMIF('2020 CNESER'!$C$4:$C$76,'2021 CNESER'!$C56,'2020 CNESER'!$L$4:$L$76)</f>
        <v>-3.1127897890075539E-2</v>
      </c>
      <c r="M56" s="45">
        <f t="shared" si="12"/>
        <v>6873.9293139758929</v>
      </c>
      <c r="N56" s="214">
        <f t="shared" si="15"/>
        <v>9.2104673567235746</v>
      </c>
      <c r="O56" s="199">
        <f>K56*$N$76/100-J56</f>
        <v>737.68555477238715</v>
      </c>
      <c r="P56" s="200">
        <f>K56*$M$76-G56</f>
        <v>55794147.726902783</v>
      </c>
      <c r="Q56" s="217">
        <f t="shared" si="6"/>
        <v>44261133.286343232</v>
      </c>
      <c r="R56" s="197">
        <f t="shared" si="7"/>
        <v>11533014.440559551</v>
      </c>
      <c r="S56" s="138">
        <f t="shared" si="13"/>
        <v>68416.554179372688</v>
      </c>
      <c r="T56" s="96">
        <f t="shared" si="14"/>
        <v>0.92174901469703363</v>
      </c>
      <c r="U56" s="93"/>
      <c r="V56" s="93"/>
      <c r="W56" s="93"/>
      <c r="X56" s="93"/>
      <c r="Y56" s="93"/>
      <c r="Z56" s="93"/>
      <c r="AA56" s="93"/>
      <c r="AB56" s="93"/>
      <c r="AC56" s="93"/>
      <c r="AD56" s="93"/>
      <c r="AE56" s="93"/>
      <c r="AF56" s="93"/>
      <c r="AG56" s="93"/>
      <c r="AH56" s="93"/>
      <c r="AI56" s="93"/>
      <c r="AJ56" s="93"/>
      <c r="AK56" s="93"/>
      <c r="AL56" s="93"/>
      <c r="AM56" s="93"/>
      <c r="AN56" s="93"/>
      <c r="AO56" s="93"/>
      <c r="AP56" s="93"/>
      <c r="AQ56" s="93"/>
      <c r="AR56" s="93"/>
      <c r="AS56" s="93"/>
      <c r="AT56" s="93"/>
      <c r="AU56" s="93"/>
      <c r="AV56" s="93"/>
      <c r="AW56" s="93"/>
      <c r="AX56" s="93"/>
      <c r="AY56" s="93"/>
      <c r="AZ56" s="93"/>
      <c r="BA56" s="93"/>
      <c r="BB56" s="93"/>
      <c r="BC56" s="93"/>
      <c r="BD56" s="93"/>
      <c r="BE56" s="93"/>
      <c r="BF56" s="93"/>
      <c r="BG56" s="93"/>
      <c r="BH56" s="93"/>
      <c r="BI56" s="93"/>
      <c r="BJ56" s="93"/>
      <c r="BK56" s="93"/>
      <c r="BL56" s="93"/>
      <c r="BM56" s="93"/>
      <c r="BN56" s="93"/>
      <c r="BO56" s="93"/>
      <c r="BP56" s="93"/>
      <c r="BQ56" s="93"/>
      <c r="BR56" s="93"/>
      <c r="BS56" s="93"/>
      <c r="BT56" s="93"/>
      <c r="BU56" s="93"/>
      <c r="BV56" s="93"/>
      <c r="BW56" s="93"/>
      <c r="BX56" s="93"/>
      <c r="BY56" s="93"/>
      <c r="BZ56" s="93"/>
      <c r="CA56" s="93"/>
      <c r="CB56" s="93"/>
      <c r="CC56" s="93"/>
      <c r="CD56" s="93"/>
      <c r="CE56" s="93"/>
      <c r="CF56" s="93"/>
      <c r="CG56" s="93"/>
      <c r="CH56" s="93"/>
    </row>
    <row r="57" spans="1:86">
      <c r="A57" s="146" t="s">
        <v>198</v>
      </c>
      <c r="B57" s="147" t="s">
        <v>6</v>
      </c>
      <c r="C57" s="147" t="s">
        <v>52</v>
      </c>
      <c r="D57" s="147" t="s">
        <v>246</v>
      </c>
      <c r="E57" s="209">
        <v>188512473</v>
      </c>
      <c r="F57" s="184">
        <f>(SUMIF(C$4:C$71,C57,E$4:E$71)-SUMIF('2020 CNESER'!C$4:C$71,C57,'2020 CNESER'!E$4:E$71))/SUMIF('2020 CNESER'!C$4:C$71,C57,'2020 CNESER'!E$4:E$71)</f>
        <v>-1.8905037129228995E-2</v>
      </c>
      <c r="G57" s="209">
        <v>211506139</v>
      </c>
      <c r="H57" s="184">
        <f>(SUMIF(C$4:C$71,C57,G$4:G$71)-SUMIF('2020 CNESER'!C$4:C$71,C57,'2020 CNESER'!G$4:G$71))/SUMIF('2020 CNESER'!C$4:C$71,C57,'2020 CNESER'!G$4:G$71)</f>
        <v>-1.0660346901622916E-2</v>
      </c>
      <c r="I57" s="148">
        <f>SUMIF('2020 CNESER'!$C$4:$C$77,C57,'2020 CNESER'!$I$4:$I$77)</f>
        <v>2985</v>
      </c>
      <c r="J57" s="148">
        <f t="shared" si="11"/>
        <v>2906.7514976768703</v>
      </c>
      <c r="K57" s="174">
        <v>28458</v>
      </c>
      <c r="L57" s="179">
        <f>(SUMIF('2021 CNESER'!$C$4:$C$76,'2021 CNESER'!$C55,'2021 CNESER'!$K$4:$K$76)-SUMIF('2020 CNESER'!$C$4:$C$76,'2021 CNESER'!$C55,'2020 CNESER'!$L$4:$L$76))/SUMIF('2020 CNESER'!$C$4:$C$76,'2021 CNESER'!$C55,'2020 CNESER'!$L$4:$L$76)</f>
        <v>6.195299439472908E-2</v>
      </c>
      <c r="M57" s="45">
        <f t="shared" si="12"/>
        <v>7432.2207815025649</v>
      </c>
      <c r="N57" s="214">
        <f t="shared" si="15"/>
        <v>10.489141893316466</v>
      </c>
      <c r="O57" s="199">
        <f>K57*$N$76/100-J57</f>
        <v>199.07352558471393</v>
      </c>
      <c r="P57" s="200">
        <f>K57*$M$76-G57</f>
        <v>19685691.98423174</v>
      </c>
      <c r="Q57" s="217">
        <f t="shared" si="6"/>
        <v>11944411.535082836</v>
      </c>
      <c r="R57" s="197">
        <f t="shared" si="7"/>
        <v>7741280.4491489045</v>
      </c>
      <c r="S57" s="138">
        <f t="shared" si="13"/>
        <v>64853.31585815391</v>
      </c>
      <c r="T57" s="96">
        <f t="shared" si="14"/>
        <v>0.89128605860466303</v>
      </c>
      <c r="U57" s="93"/>
      <c r="V57" s="93"/>
      <c r="W57" s="93"/>
      <c r="X57" s="93"/>
      <c r="Y57" s="93"/>
      <c r="Z57" s="93"/>
      <c r="AA57" s="93"/>
      <c r="AB57" s="93"/>
      <c r="AC57" s="93"/>
      <c r="AD57" s="93"/>
      <c r="AE57" s="93"/>
      <c r="AF57" s="93"/>
      <c r="AG57" s="93"/>
      <c r="AH57" s="93"/>
      <c r="AI57" s="93"/>
      <c r="AJ57" s="93"/>
      <c r="AK57" s="93"/>
      <c r="AL57" s="93"/>
      <c r="AM57" s="93"/>
      <c r="AN57" s="93"/>
      <c r="AO57" s="93"/>
      <c r="AP57" s="93"/>
      <c r="AQ57" s="93"/>
      <c r="AR57" s="93"/>
      <c r="AS57" s="93"/>
      <c r="AT57" s="93"/>
      <c r="AU57" s="93"/>
      <c r="AV57" s="93"/>
      <c r="AW57" s="93"/>
      <c r="AX57" s="93"/>
      <c r="AY57" s="93"/>
      <c r="AZ57" s="93"/>
      <c r="BA57" s="93"/>
      <c r="BB57" s="93"/>
      <c r="BC57" s="93"/>
      <c r="BD57" s="93"/>
      <c r="BE57" s="93"/>
      <c r="BF57" s="93"/>
      <c r="BG57" s="93"/>
      <c r="BH57" s="93"/>
      <c r="BI57" s="93"/>
      <c r="BJ57" s="93"/>
      <c r="BK57" s="93"/>
      <c r="BL57" s="93"/>
      <c r="BM57" s="93"/>
      <c r="BN57" s="93"/>
      <c r="BO57" s="93"/>
      <c r="BP57" s="93"/>
      <c r="BQ57" s="93"/>
      <c r="BR57" s="93"/>
      <c r="BS57" s="93"/>
      <c r="BT57" s="93"/>
      <c r="BU57" s="93"/>
      <c r="BV57" s="93"/>
      <c r="BW57" s="93"/>
      <c r="BX57" s="93"/>
      <c r="BY57" s="93"/>
      <c r="BZ57" s="93"/>
      <c r="CA57" s="93"/>
      <c r="CB57" s="93"/>
      <c r="CC57" s="93"/>
      <c r="CD57" s="93"/>
      <c r="CE57" s="93"/>
      <c r="CF57" s="93"/>
      <c r="CG57" s="93"/>
      <c r="CH57" s="93"/>
    </row>
    <row r="58" spans="1:86">
      <c r="A58" s="146" t="s">
        <v>198</v>
      </c>
      <c r="B58" s="147" t="s">
        <v>284</v>
      </c>
      <c r="C58" s="147" t="s">
        <v>255</v>
      </c>
      <c r="D58" s="147" t="s">
        <v>255</v>
      </c>
      <c r="E58" s="209">
        <v>456736886</v>
      </c>
      <c r="F58" s="184">
        <f>(SUMIF(C$4:C$71,C58,E$4:E$71)-SUMIF('2020 CNESER'!C$4:C$71,C58,'2020 CNESER'!E$4:E$71))/SUMIF('2020 CNESER'!C$4:C$71,C58,'2020 CNESER'!E$4:E$71)</f>
        <v>7.3770769979562304E-3</v>
      </c>
      <c r="G58" s="209">
        <v>493585704</v>
      </c>
      <c r="H58" s="184">
        <f>(SUMIF(C$4:C$71,C58,G$4:G$71)-SUMIF('2020 CNESER'!C$4:C$71,C58,'2020 CNESER'!G$4:G$71))/SUMIF('2020 CNESER'!C$4:C$71,C58,'2020 CNESER'!G$4:G$71)</f>
        <v>6.2732639390508235E-3</v>
      </c>
      <c r="I58" s="148">
        <f>SUMIF('2020 CNESER'!$C$4:$C$77,C58,'2020 CNESER'!$I$4:$I$77)</f>
        <v>6577</v>
      </c>
      <c r="J58" s="148">
        <f t="shared" si="11"/>
        <v>6587.4826976638124</v>
      </c>
      <c r="K58" s="174">
        <v>55245</v>
      </c>
      <c r="L58" s="179">
        <f>(SUMIF('2021 CNESER'!$C$4:$C$76,'2021 CNESER'!$C32,'2021 CNESER'!$K$4:$K$76)-SUMIF('2020 CNESER'!$C$4:$C$76,'2021 CNESER'!$C32,'2020 CNESER'!$L$4:$L$76))/SUMIF('2020 CNESER'!$C$4:$C$76,'2021 CNESER'!$C32,'2020 CNESER'!$L$4:$L$76)</f>
        <v>0</v>
      </c>
      <c r="M58" s="45">
        <f t="shared" si="12"/>
        <v>8934.4864512625572</v>
      </c>
      <c r="N58" s="214">
        <f t="shared" si="15"/>
        <v>11.905149787311069</v>
      </c>
      <c r="O58" s="192">
        <f>K58*$N$76/100-J58</f>
        <v>-558.20082929336422</v>
      </c>
      <c r="P58" s="198">
        <f>K58*$M$76-G58</f>
        <v>-44777189.602506042</v>
      </c>
      <c r="Q58" s="218">
        <f t="shared" si="6"/>
        <v>0</v>
      </c>
      <c r="R58" s="198">
        <f t="shared" si="7"/>
        <v>0</v>
      </c>
      <c r="S58" s="138">
        <f t="shared" si="13"/>
        <v>69334.054746280759</v>
      </c>
      <c r="T58" s="96">
        <f t="shared" si="14"/>
        <v>0.92534464085694024</v>
      </c>
      <c r="U58" s="93"/>
      <c r="V58" s="93"/>
      <c r="W58" s="93"/>
      <c r="X58" s="93"/>
      <c r="Y58" s="93"/>
      <c r="Z58" s="93"/>
      <c r="AA58" s="93"/>
      <c r="AB58" s="93"/>
      <c r="AC58" s="93"/>
      <c r="AD58" s="93"/>
      <c r="AE58" s="93"/>
      <c r="AF58" s="93"/>
      <c r="AG58" s="93"/>
      <c r="AH58" s="93"/>
      <c r="AI58" s="93"/>
      <c r="AJ58" s="93"/>
      <c r="AK58" s="93"/>
      <c r="AL58" s="93"/>
      <c r="AM58" s="93"/>
      <c r="AN58" s="93"/>
      <c r="AO58" s="93"/>
      <c r="AP58" s="93"/>
      <c r="AQ58" s="93"/>
      <c r="AR58" s="93"/>
      <c r="AS58" s="93"/>
      <c r="AT58" s="93"/>
      <c r="AU58" s="93"/>
      <c r="AV58" s="93"/>
      <c r="AW58" s="93"/>
      <c r="AX58" s="93"/>
      <c r="AY58" s="93"/>
      <c r="AZ58" s="93"/>
      <c r="BA58" s="93"/>
      <c r="BB58" s="93"/>
      <c r="BC58" s="93"/>
      <c r="BD58" s="93"/>
      <c r="BE58" s="93"/>
      <c r="BF58" s="93"/>
      <c r="BG58" s="93"/>
      <c r="BH58" s="93"/>
      <c r="BI58" s="93"/>
      <c r="BJ58" s="93"/>
      <c r="BK58" s="93"/>
      <c r="BL58" s="93"/>
      <c r="BM58" s="93"/>
      <c r="BN58" s="93"/>
      <c r="BO58" s="93"/>
      <c r="BP58" s="93"/>
      <c r="BQ58" s="93"/>
      <c r="BR58" s="93"/>
      <c r="BS58" s="93"/>
      <c r="BT58" s="93"/>
      <c r="BU58" s="93"/>
      <c r="BV58" s="93"/>
      <c r="BW58" s="93"/>
      <c r="BX58" s="93"/>
      <c r="BY58" s="93"/>
      <c r="BZ58" s="93"/>
      <c r="CA58" s="93"/>
      <c r="CB58" s="93"/>
      <c r="CC58" s="93"/>
      <c r="CD58" s="93"/>
      <c r="CE58" s="93"/>
      <c r="CF58" s="93"/>
      <c r="CG58" s="93"/>
      <c r="CH58" s="93"/>
    </row>
    <row r="59" spans="1:86">
      <c r="A59" s="146" t="s">
        <v>198</v>
      </c>
      <c r="B59" s="147" t="s">
        <v>6</v>
      </c>
      <c r="C59" s="147" t="s">
        <v>177</v>
      </c>
      <c r="D59" s="147" t="s">
        <v>257</v>
      </c>
      <c r="E59" s="209">
        <v>270402910</v>
      </c>
      <c r="F59" s="184">
        <f>(SUMIF(C$4:C$71,C59,E$4:E$71)-SUMIF('2020 CNESER'!C$4:C$71,C59,'2020 CNESER'!E$4:E$71))/SUMIF('2020 CNESER'!C$4:C$71,C59,'2020 CNESER'!E$4:E$71)</f>
        <v>1.1258525927422824E-2</v>
      </c>
      <c r="G59" s="209">
        <v>297761792</v>
      </c>
      <c r="H59" s="184">
        <f>(SUMIF(C$4:C$71,C59,G$4:G$71)-SUMIF('2020 CNESER'!C$4:C$71,C59,'2020 CNESER'!G$4:G$71))/SUMIF('2020 CNESER'!C$4:C$71,C59,'2020 CNESER'!G$4:G$71)</f>
        <v>9.3415428075676876E-3</v>
      </c>
      <c r="I59" s="148">
        <f>SUMIF('2020 CNESER'!$C$4:$C$77,C59,'2020 CNESER'!$I$4:$I$77)</f>
        <v>3921</v>
      </c>
      <c r="J59" s="148">
        <f t="shared" si="11"/>
        <v>3944.6986785514264</v>
      </c>
      <c r="K59" s="174">
        <v>32873</v>
      </c>
      <c r="L59" s="179">
        <f>(SUMIF('2021 CNESER'!$C$4:$C$76,'2021 CNESER'!$C58,'2021 CNESER'!$K$4:$K$76)-SUMIF('2020 CNESER'!$C$4:$C$76,'2021 CNESER'!$C58,'2020 CNESER'!$L$4:$L$76))/SUMIF('2020 CNESER'!$C$4:$C$76,'2021 CNESER'!$C58,'2020 CNESER'!$L$4:$L$76)</f>
        <v>-4.0302267002518891E-2</v>
      </c>
      <c r="M59" s="45">
        <f t="shared" si="12"/>
        <v>9057.9439661728466</v>
      </c>
      <c r="N59" s="214">
        <f t="shared" si="15"/>
        <v>11.927721838590941</v>
      </c>
      <c r="O59" s="192">
        <f>K59*$N$76/100-J59</f>
        <v>-357.03313671159049</v>
      </c>
      <c r="P59" s="198">
        <f>K59*$M$76-G59</f>
        <v>-30702650.108628482</v>
      </c>
      <c r="Q59" s="218">
        <f t="shared" si="6"/>
        <v>0</v>
      </c>
      <c r="R59" s="198">
        <f t="shared" si="7"/>
        <v>0</v>
      </c>
      <c r="S59" s="138">
        <f t="shared" si="13"/>
        <v>68548.432221266004</v>
      </c>
      <c r="T59" s="96">
        <f t="shared" si="14"/>
        <v>0.90811822491987149</v>
      </c>
      <c r="U59" s="93"/>
      <c r="V59" s="93"/>
      <c r="W59" s="93"/>
      <c r="X59" s="93"/>
      <c r="Y59" s="93"/>
      <c r="Z59" s="93"/>
      <c r="AA59" s="93"/>
      <c r="AB59" s="93"/>
      <c r="AC59" s="93"/>
      <c r="AD59" s="93"/>
      <c r="AE59" s="93"/>
      <c r="AF59" s="93"/>
      <c r="AG59" s="93"/>
      <c r="AH59" s="93"/>
      <c r="AI59" s="93"/>
      <c r="AJ59" s="93"/>
      <c r="AK59" s="93"/>
      <c r="AL59" s="93"/>
      <c r="AM59" s="93"/>
      <c r="AN59" s="93"/>
      <c r="AO59" s="93"/>
      <c r="AP59" s="93"/>
      <c r="AQ59" s="93"/>
      <c r="AR59" s="93"/>
      <c r="AS59" s="93"/>
      <c r="AT59" s="93"/>
      <c r="AU59" s="93"/>
      <c r="AV59" s="93"/>
      <c r="AW59" s="93"/>
      <c r="AX59" s="93"/>
      <c r="AY59" s="93"/>
      <c r="AZ59" s="93"/>
      <c r="BA59" s="93"/>
      <c r="BB59" s="93"/>
      <c r="BC59" s="93"/>
      <c r="BD59" s="93"/>
      <c r="BE59" s="93"/>
      <c r="BF59" s="93"/>
      <c r="BG59" s="93"/>
      <c r="BH59" s="93"/>
      <c r="BI59" s="93"/>
      <c r="BJ59" s="93"/>
      <c r="BK59" s="93"/>
      <c r="BL59" s="93"/>
      <c r="BM59" s="93"/>
      <c r="BN59" s="93"/>
      <c r="BO59" s="93"/>
      <c r="BP59" s="93"/>
      <c r="BQ59" s="93"/>
      <c r="BR59" s="93"/>
      <c r="BS59" s="93"/>
      <c r="BT59" s="93"/>
      <c r="BU59" s="93"/>
      <c r="BV59" s="93"/>
      <c r="BW59" s="93"/>
      <c r="BX59" s="93"/>
      <c r="BY59" s="93"/>
      <c r="BZ59" s="93"/>
      <c r="CA59" s="93"/>
      <c r="CB59" s="93"/>
      <c r="CC59" s="93"/>
      <c r="CD59" s="93"/>
      <c r="CE59" s="93"/>
      <c r="CF59" s="93"/>
      <c r="CG59" s="93"/>
      <c r="CH59" s="93"/>
    </row>
    <row r="60" spans="1:86">
      <c r="A60" s="153" t="s">
        <v>211</v>
      </c>
      <c r="B60" s="150" t="s">
        <v>39</v>
      </c>
      <c r="C60" s="150" t="s">
        <v>171</v>
      </c>
      <c r="D60" s="150" t="s">
        <v>41</v>
      </c>
      <c r="E60" s="210">
        <v>86256235</v>
      </c>
      <c r="F60" s="187">
        <f>(SUMIF(C$4:C$71,C60,E$4:E$71)-SUMIF('2020 CNESER'!C$4:C$71,C60,'2020 CNESER'!E$4:E$71))/SUMIF('2020 CNESER'!C$4:C$71,C60,'2020 CNESER'!E$4:E$71)</f>
        <v>1.9061692193547471E-2</v>
      </c>
      <c r="G60" s="210">
        <v>94903218</v>
      </c>
      <c r="H60" s="187">
        <f>(SUMIF(C$4:C$71,C60,G$4:G$71)-SUMIF('2020 CNESER'!C$4:C$71,C60,'2020 CNESER'!G$4:G$71))/SUMIF('2020 CNESER'!C$4:C$71,C60,'2020 CNESER'!G$4:G$71)</f>
        <v>1.5674722160309903E-2</v>
      </c>
      <c r="I60" s="151">
        <f>SUMIF('2020 CNESER'!$C$4:$C$77,C60,'2020 CNESER'!$I$4:$I$77)</f>
        <v>1245</v>
      </c>
      <c r="J60" s="151">
        <f t="shared" si="11"/>
        <v>1263.7775398557383</v>
      </c>
      <c r="K60" s="176">
        <v>21518</v>
      </c>
      <c r="L60" s="180">
        <f>(SUMIF('2021 CNESER'!$C$4:$C$76,'2021 CNESER'!$C60,'2021 CNESER'!$K$4:$K$76)-SUMIF('2020 CNESER'!$C$4:$C$76,'2021 CNESER'!$C60,'2020 CNESER'!$L$4:$L$76))/SUMIF('2020 CNESER'!$C$4:$C$76,'2021 CNESER'!$C60,'2020 CNESER'!$L$4:$L$76)</f>
        <v>2.5887961859356375E-2</v>
      </c>
      <c r="M60" s="20">
        <f t="shared" si="12"/>
        <v>4410.4107259038947</v>
      </c>
      <c r="N60" s="215">
        <f t="shared" si="15"/>
        <v>5.7858537038758246</v>
      </c>
      <c r="O60" s="199">
        <f t="shared" ref="O60:O71" si="16">K60*$N$73/100-J60</f>
        <v>22.391297780040304</v>
      </c>
      <c r="P60" s="200">
        <f t="shared" ref="P60:P71" si="17">K60*$M$73-G60</f>
        <v>6262950.221579656</v>
      </c>
      <c r="Q60" s="217">
        <f t="shared" si="6"/>
        <v>1343477.8668024181</v>
      </c>
      <c r="R60" s="197">
        <f t="shared" si="7"/>
        <v>4919472.3547772374</v>
      </c>
      <c r="S60" s="138">
        <f t="shared" si="13"/>
        <v>68252.704514630197</v>
      </c>
      <c r="T60" s="96">
        <f t="shared" si="14"/>
        <v>0.90888630351818001</v>
      </c>
      <c r="U60" s="93"/>
      <c r="V60" s="93"/>
      <c r="W60" s="93"/>
      <c r="X60" s="93"/>
      <c r="Y60" s="93"/>
      <c r="Z60" s="93"/>
      <c r="AA60" s="93"/>
      <c r="AB60" s="93"/>
      <c r="AC60" s="93"/>
      <c r="AD60" s="93"/>
      <c r="AE60" s="93"/>
      <c r="AF60" s="93"/>
      <c r="AG60" s="93"/>
      <c r="AH60" s="93"/>
      <c r="AI60" s="93"/>
      <c r="AJ60" s="93"/>
      <c r="AK60" s="93"/>
      <c r="AL60" s="93"/>
      <c r="AM60" s="93"/>
      <c r="AN60" s="93"/>
      <c r="AO60" s="93"/>
      <c r="AP60" s="93"/>
      <c r="AQ60" s="93"/>
      <c r="AR60" s="93"/>
      <c r="AS60" s="93"/>
      <c r="AT60" s="93"/>
      <c r="AU60" s="93"/>
      <c r="AV60" s="93"/>
      <c r="AW60" s="93"/>
      <c r="AX60" s="93"/>
      <c r="AY60" s="93"/>
      <c r="AZ60" s="93"/>
      <c r="BA60" s="93"/>
      <c r="BB60" s="93"/>
      <c r="BC60" s="93"/>
      <c r="BD60" s="93"/>
      <c r="BE60" s="93"/>
      <c r="BF60" s="93"/>
      <c r="BG60" s="93"/>
      <c r="BH60" s="93"/>
      <c r="BI60" s="93"/>
      <c r="BJ60" s="93"/>
      <c r="BK60" s="93"/>
      <c r="BL60" s="93"/>
      <c r="BM60" s="93"/>
      <c r="BN60" s="93"/>
      <c r="BO60" s="93"/>
      <c r="BP60" s="93"/>
      <c r="BQ60" s="93"/>
      <c r="BR60" s="93"/>
      <c r="BS60" s="93"/>
      <c r="BT60" s="93"/>
      <c r="BU60" s="93"/>
      <c r="BV60" s="93"/>
      <c r="BW60" s="93"/>
      <c r="BX60" s="93"/>
      <c r="BY60" s="93"/>
      <c r="BZ60" s="93"/>
      <c r="CA60" s="93"/>
      <c r="CB60" s="93"/>
      <c r="CC60" s="93"/>
      <c r="CD60" s="93"/>
      <c r="CE60" s="93"/>
      <c r="CF60" s="93"/>
      <c r="CG60" s="93"/>
      <c r="CH60" s="93"/>
    </row>
    <row r="61" spans="1:86">
      <c r="A61" s="18" t="s">
        <v>211</v>
      </c>
      <c r="B61" s="150" t="s">
        <v>39</v>
      </c>
      <c r="C61" s="150" t="s">
        <v>162</v>
      </c>
      <c r="D61" s="150" t="s">
        <v>243</v>
      </c>
      <c r="E61" s="210">
        <v>109930949</v>
      </c>
      <c r="F61" s="187">
        <f>(SUMIF(C$4:C$71,C61,E$4:E$71)-SUMIF('2020 CNESER'!C$4:C$71,C61,'2020 CNESER'!E$4:E$71))/SUMIF('2020 CNESER'!C$4:C$71,C61,'2020 CNESER'!E$4:E$71)</f>
        <v>8.0025616413048582E-3</v>
      </c>
      <c r="G61" s="210">
        <v>119910323</v>
      </c>
      <c r="H61" s="187">
        <f>(SUMIF(C$4:C$71,C61,G$4:G$71)-SUMIF('2020 CNESER'!C$4:C$71,C61,'2020 CNESER'!G$4:G$71))/SUMIF('2020 CNESER'!C$4:C$71,C61,'2020 CNESER'!G$4:G$71)</f>
        <v>9.3956458723670581E-3</v>
      </c>
      <c r="I61" s="151">
        <f>SUMIF('2020 CNESER'!$C$4:$C$77,C61,'2020 CNESER'!$I$4:$I$77)</f>
        <v>1559</v>
      </c>
      <c r="J61" s="151">
        <f t="shared" si="11"/>
        <v>1562.6690583609941</v>
      </c>
      <c r="K61" s="176">
        <v>27092</v>
      </c>
      <c r="L61" s="180">
        <f>(SUMIF('2021 CNESER'!$C$4:$C$76,'2021 CNESER'!$C59,'2021 CNESER'!$K$4:$K$76)-SUMIF('2020 CNESER'!$C$4:$C$76,'2021 CNESER'!$C59,'2020 CNESER'!$L$4:$L$76))/SUMIF('2020 CNESER'!$C$4:$C$76,'2021 CNESER'!$C59,'2020 CNESER'!$L$4:$L$76)</f>
        <v>-1.9067796610169493E-2</v>
      </c>
      <c r="M61" s="20">
        <f t="shared" si="12"/>
        <v>4426.0417466410745</v>
      </c>
      <c r="N61" s="215">
        <f t="shared" si="15"/>
        <v>5.7544662631034988</v>
      </c>
      <c r="O61" s="199">
        <f t="shared" si="16"/>
        <v>56.667596961457548</v>
      </c>
      <c r="P61" s="200">
        <f t="shared" si="17"/>
        <v>7461822.620366022</v>
      </c>
      <c r="Q61" s="217">
        <f t="shared" si="6"/>
        <v>3400055.8176874528</v>
      </c>
      <c r="R61" s="197">
        <f t="shared" si="7"/>
        <v>4061766.8026785692</v>
      </c>
      <c r="S61" s="138">
        <f t="shared" si="13"/>
        <v>70348.195871556527</v>
      </c>
      <c r="T61" s="96">
        <f t="shared" si="14"/>
        <v>0.91677635627751586</v>
      </c>
      <c r="U61" s="93"/>
      <c r="V61" s="93"/>
      <c r="W61" s="93"/>
      <c r="X61" s="93"/>
      <c r="Y61" s="93"/>
      <c r="Z61" s="93"/>
      <c r="AA61" s="93"/>
      <c r="AB61" s="93"/>
      <c r="AC61" s="93"/>
      <c r="AD61" s="93"/>
      <c r="AE61" s="93"/>
      <c r="AF61" s="93"/>
      <c r="AG61" s="93"/>
      <c r="AH61" s="93"/>
      <c r="AI61" s="93"/>
      <c r="AJ61" s="93"/>
      <c r="AK61" s="93"/>
      <c r="AL61" s="93"/>
      <c r="AM61" s="93"/>
      <c r="AN61" s="93"/>
      <c r="AO61" s="93"/>
      <c r="AP61" s="93"/>
      <c r="AQ61" s="93"/>
      <c r="AR61" s="93"/>
      <c r="AS61" s="93"/>
      <c r="AT61" s="93"/>
      <c r="AU61" s="93"/>
      <c r="AV61" s="93"/>
      <c r="AW61" s="93"/>
      <c r="AX61" s="93"/>
      <c r="AY61" s="93"/>
      <c r="AZ61" s="93"/>
      <c r="BA61" s="93"/>
      <c r="BB61" s="93"/>
      <c r="BC61" s="93"/>
      <c r="BD61" s="93"/>
      <c r="BE61" s="93"/>
      <c r="BF61" s="93"/>
      <c r="BG61" s="93"/>
      <c r="BH61" s="93"/>
      <c r="BI61" s="93"/>
      <c r="BJ61" s="93"/>
      <c r="BK61" s="93"/>
      <c r="BL61" s="93"/>
      <c r="BM61" s="93"/>
      <c r="BN61" s="93"/>
      <c r="BO61" s="93"/>
      <c r="BP61" s="93"/>
      <c r="BQ61" s="93"/>
      <c r="BR61" s="93"/>
      <c r="BS61" s="93"/>
      <c r="BT61" s="93"/>
      <c r="BU61" s="93"/>
      <c r="BV61" s="93"/>
      <c r="BW61" s="93"/>
      <c r="BX61" s="93"/>
      <c r="BY61" s="93"/>
      <c r="BZ61" s="93"/>
      <c r="CA61" s="93"/>
      <c r="CB61" s="93"/>
      <c r="CC61" s="93"/>
      <c r="CD61" s="93"/>
      <c r="CE61" s="93"/>
      <c r="CF61" s="93"/>
      <c r="CG61" s="93"/>
      <c r="CH61" s="93"/>
    </row>
    <row r="62" spans="1:86">
      <c r="A62" s="153" t="s">
        <v>211</v>
      </c>
      <c r="B62" s="150" t="s">
        <v>6</v>
      </c>
      <c r="C62" s="150" t="s">
        <v>53</v>
      </c>
      <c r="D62" s="150" t="s">
        <v>246</v>
      </c>
      <c r="E62" s="210">
        <v>90078806</v>
      </c>
      <c r="F62" s="187">
        <f>(SUMIF(C$4:C$71,C62,E$4:E$71)-SUMIF('2020 CNESER'!C$4:C$71,C62,'2020 CNESER'!E$4:E$71))/SUMIF('2020 CNESER'!C$4:C$71,C62,'2020 CNESER'!E$4:E$71)</f>
        <v>2.3802833509642747E-2</v>
      </c>
      <c r="G62" s="210">
        <v>96849372</v>
      </c>
      <c r="H62" s="187">
        <f>(SUMIF(C$4:C$71,C62,G$4:G$71)-SUMIF('2020 CNESER'!C$4:C$71,C62,'2020 CNESER'!G$4:G$71))/SUMIF('2020 CNESER'!C$4:C$71,C62,'2020 CNESER'!G$4:G$71)</f>
        <v>2.0713074250470299E-2</v>
      </c>
      <c r="I62" s="151">
        <f>SUMIF('2020 CNESER'!$C$4:$C$77,C62,'2020 CNESER'!$I$4:$I$77)</f>
        <v>1216</v>
      </c>
      <c r="J62" s="151">
        <f t="shared" si="11"/>
        <v>1242.7276330994234</v>
      </c>
      <c r="K62" s="176">
        <v>21753</v>
      </c>
      <c r="L62" s="180">
        <f>(SUMIF('2021 CNESER'!$C$4:$C$76,'2021 CNESER'!$C61,'2021 CNESER'!$K$4:$K$76)-SUMIF('2020 CNESER'!$C$4:$C$76,'2021 CNESER'!$C61,'2020 CNESER'!$L$4:$L$76))/SUMIF('2020 CNESER'!$C$4:$C$76,'2021 CNESER'!$C61,'2020 CNESER'!$L$4:$L$76)</f>
        <v>3.4817393881028226E-3</v>
      </c>
      <c r="M62" s="20">
        <f t="shared" si="12"/>
        <v>4452.230588884292</v>
      </c>
      <c r="N62" s="215">
        <f t="shared" si="15"/>
        <v>5.5900335585896199</v>
      </c>
      <c r="O62" s="199">
        <f t="shared" si="16"/>
        <v>57.487569293507704</v>
      </c>
      <c r="P62" s="200">
        <f t="shared" si="17"/>
        <v>5421640.9809472114</v>
      </c>
      <c r="Q62" s="217">
        <f t="shared" si="6"/>
        <v>3449254.157610462</v>
      </c>
      <c r="R62" s="197">
        <f t="shared" si="7"/>
        <v>1972386.8233367493</v>
      </c>
      <c r="S62" s="138">
        <f t="shared" si="13"/>
        <v>72484.753377004308</v>
      </c>
      <c r="T62" s="96">
        <f t="shared" si="14"/>
        <v>0.93009179243826179</v>
      </c>
      <c r="U62" s="93"/>
      <c r="V62" s="93"/>
      <c r="W62" s="93"/>
      <c r="X62" s="93"/>
      <c r="Y62" s="93"/>
      <c r="Z62" s="93"/>
      <c r="AA62" s="93"/>
      <c r="AB62" s="93"/>
      <c r="AC62" s="93"/>
      <c r="AD62" s="93"/>
      <c r="AE62" s="93"/>
      <c r="AF62" s="93"/>
      <c r="AG62" s="93"/>
      <c r="AH62" s="93"/>
      <c r="AI62" s="93"/>
      <c r="AJ62" s="93"/>
      <c r="AK62" s="93"/>
      <c r="AL62" s="93"/>
      <c r="AM62" s="93"/>
      <c r="AN62" s="93"/>
      <c r="AO62" s="93"/>
      <c r="AP62" s="93"/>
      <c r="AQ62" s="93"/>
      <c r="AR62" s="93"/>
      <c r="AS62" s="93"/>
      <c r="AT62" s="93"/>
      <c r="AU62" s="93"/>
      <c r="AV62" s="93"/>
      <c r="AW62" s="93"/>
      <c r="AX62" s="93"/>
      <c r="AY62" s="93"/>
      <c r="AZ62" s="93"/>
      <c r="BA62" s="93"/>
      <c r="BB62" s="93"/>
      <c r="BC62" s="93"/>
      <c r="BD62" s="93"/>
      <c r="BE62" s="93"/>
      <c r="BF62" s="93"/>
      <c r="BG62" s="93"/>
      <c r="BH62" s="93"/>
      <c r="BI62" s="93"/>
      <c r="BJ62" s="93"/>
      <c r="BK62" s="93"/>
      <c r="BL62" s="93"/>
      <c r="BM62" s="93"/>
      <c r="BN62" s="93"/>
      <c r="BO62" s="93"/>
      <c r="BP62" s="93"/>
      <c r="BQ62" s="93"/>
      <c r="BR62" s="93"/>
      <c r="BS62" s="93"/>
      <c r="BT62" s="93"/>
      <c r="BU62" s="93"/>
      <c r="BV62" s="93"/>
      <c r="BW62" s="93"/>
      <c r="BX62" s="93"/>
      <c r="BY62" s="93"/>
      <c r="BZ62" s="93"/>
      <c r="CA62" s="93"/>
      <c r="CB62" s="93"/>
      <c r="CC62" s="93"/>
      <c r="CD62" s="93"/>
      <c r="CE62" s="93"/>
      <c r="CF62" s="93"/>
      <c r="CG62" s="93"/>
      <c r="CH62" s="93"/>
    </row>
    <row r="63" spans="1:86">
      <c r="A63" s="18" t="s">
        <v>211</v>
      </c>
      <c r="B63" s="150" t="s">
        <v>4</v>
      </c>
      <c r="C63" s="150" t="s">
        <v>176</v>
      </c>
      <c r="D63" s="150" t="s">
        <v>257</v>
      </c>
      <c r="E63" s="210">
        <v>144212820</v>
      </c>
      <c r="F63" s="187">
        <f>(SUMIF(C$4:C$71,C63,E$4:E$71)-SUMIF('2020 CNESER'!C$4:C$71,C63,'2020 CNESER'!E$4:E$71))/SUMIF('2020 CNESER'!C$4:C$71,C63,'2020 CNESER'!E$4:E$71)</f>
        <v>8.8336803251793314E-3</v>
      </c>
      <c r="G63" s="210">
        <v>155027070</v>
      </c>
      <c r="H63" s="187">
        <f>(SUMIF(C$4:C$71,C63,G$4:G$71)-SUMIF('2020 CNESER'!C$4:C$71,C63,'2020 CNESER'!G$4:G$71))/SUMIF('2020 CNESER'!C$4:C$71,C63,'2020 CNESER'!G$4:G$71)</f>
        <v>8.4014443771499182E-3</v>
      </c>
      <c r="I63" s="151">
        <f>SUMIF('2020 CNESER'!$C$4:$C$77,C63,'2020 CNESER'!$I$4:$I$77)</f>
        <v>2041</v>
      </c>
      <c r="J63" s="151">
        <f t="shared" si="11"/>
        <v>2047.8108838445437</v>
      </c>
      <c r="K63" s="176">
        <v>31142</v>
      </c>
      <c r="L63" s="180">
        <f>(SUMIF('2021 CNESER'!$C$4:$C$76,'2021 CNESER'!$C65,'2021 CNESER'!$K$4:$K$76)-SUMIF('2020 CNESER'!$C$4:$C$76,'2021 CNESER'!$C65,'2020 CNESER'!$L$4:$L$76))/SUMIF('2020 CNESER'!$C$4:$C$76,'2021 CNESER'!$C65,'2020 CNESER'!$L$4:$L$76)</f>
        <v>3.6720235009504061E-3</v>
      </c>
      <c r="M63" s="20">
        <f t="shared" si="12"/>
        <v>4978.0704514803156</v>
      </c>
      <c r="N63" s="215">
        <f t="shared" si="15"/>
        <v>6.5538501059662195</v>
      </c>
      <c r="O63" s="192">
        <f t="shared" si="16"/>
        <v>-186.39858057967649</v>
      </c>
      <c r="P63" s="198">
        <f t="shared" si="17"/>
        <v>-8613982.782022804</v>
      </c>
      <c r="Q63" s="218">
        <f t="shared" si="6"/>
        <v>0</v>
      </c>
      <c r="R63" s="198">
        <f t="shared" si="7"/>
        <v>0</v>
      </c>
      <c r="S63" s="138">
        <f t="shared" si="13"/>
        <v>70422.918999852176</v>
      </c>
      <c r="T63" s="96">
        <f t="shared" si="14"/>
        <v>0.93024282791386048</v>
      </c>
      <c r="U63" s="93"/>
      <c r="V63" s="93"/>
      <c r="W63" s="93"/>
      <c r="X63" s="93"/>
      <c r="Y63" s="93"/>
      <c r="Z63" s="93"/>
      <c r="AA63" s="93"/>
      <c r="AB63" s="93"/>
      <c r="AC63" s="93"/>
      <c r="AD63" s="93"/>
      <c r="AE63" s="93"/>
      <c r="AF63" s="93"/>
      <c r="AG63" s="93"/>
      <c r="AH63" s="93"/>
      <c r="AI63" s="93"/>
      <c r="AJ63" s="93"/>
      <c r="AK63" s="93"/>
      <c r="AL63" s="93"/>
      <c r="AM63" s="93"/>
      <c r="AN63" s="93"/>
      <c r="AO63" s="93"/>
      <c r="AP63" s="93"/>
      <c r="AQ63" s="93"/>
      <c r="AR63" s="93"/>
      <c r="AS63" s="93"/>
      <c r="AT63" s="93"/>
      <c r="AU63" s="93"/>
      <c r="AV63" s="93"/>
      <c r="AW63" s="93"/>
      <c r="AX63" s="93"/>
      <c r="AY63" s="93"/>
      <c r="AZ63" s="93"/>
      <c r="BA63" s="93"/>
      <c r="BB63" s="93"/>
      <c r="BC63" s="93"/>
      <c r="BD63" s="93"/>
      <c r="BE63" s="93"/>
      <c r="BF63" s="93"/>
      <c r="BG63" s="93"/>
      <c r="BH63" s="93"/>
      <c r="BI63" s="93"/>
      <c r="BJ63" s="93"/>
      <c r="BK63" s="93"/>
      <c r="BL63" s="93"/>
      <c r="BM63" s="93"/>
      <c r="BN63" s="93"/>
      <c r="BO63" s="93"/>
      <c r="BP63" s="93"/>
      <c r="BQ63" s="93"/>
      <c r="BR63" s="93"/>
      <c r="BS63" s="93"/>
      <c r="BT63" s="93"/>
      <c r="BU63" s="93"/>
      <c r="BV63" s="93"/>
      <c r="BW63" s="93"/>
      <c r="BX63" s="93"/>
      <c r="BY63" s="93"/>
      <c r="BZ63" s="93"/>
      <c r="CA63" s="93"/>
      <c r="CB63" s="93"/>
      <c r="CC63" s="93"/>
      <c r="CD63" s="93"/>
      <c r="CE63" s="93"/>
      <c r="CF63" s="93"/>
      <c r="CG63" s="93"/>
      <c r="CH63" s="93"/>
    </row>
    <row r="64" spans="1:86">
      <c r="A64" s="18" t="s">
        <v>211</v>
      </c>
      <c r="B64" s="150" t="s">
        <v>4</v>
      </c>
      <c r="C64" s="150" t="s">
        <v>199</v>
      </c>
      <c r="D64" s="150" t="s">
        <v>14</v>
      </c>
      <c r="E64" s="210">
        <v>75034049</v>
      </c>
      <c r="F64" s="187">
        <f>(SUMIF(C$4:C$71,C64,E$4:E$71)-SUMIF('2020 CNESER'!C$4:C$71,C64,'2020 CNESER'!E$4:E$71))/SUMIF('2020 CNESER'!C$4:C$71,C64,'2020 CNESER'!E$4:E$71)</f>
        <v>1.748503097622495E-2</v>
      </c>
      <c r="G64" s="210">
        <v>81047817</v>
      </c>
      <c r="H64" s="187">
        <f>(SUMIF(C$4:C$71,C64,G$4:G$71)-SUMIF('2020 CNESER'!C$4:C$71,C64,'2020 CNESER'!G$4:G$71))/SUMIF('2020 CNESER'!C$4:C$71,C64,'2020 CNESER'!G$4:G$71)</f>
        <v>1.7098979886874966E-2</v>
      </c>
      <c r="I64" s="151">
        <f>SUMIF('2020 CNESER'!$C$4:$C$77,C64,'2020 CNESER'!$I$4:$I$77)</f>
        <v>985</v>
      </c>
      <c r="J64" s="151">
        <f t="shared" si="11"/>
        <v>999.36280628394297</v>
      </c>
      <c r="K64" s="176">
        <v>15603</v>
      </c>
      <c r="L64" s="180">
        <f>(SUMIF('2021 CNESER'!$C$4:$C$76,'2021 CNESER'!$C63,'2021 CNESER'!$K$4:$K$76)-SUMIF('2020 CNESER'!$C$4:$C$76,'2021 CNESER'!$C63,'2020 CNESER'!$L$4:$L$76))/SUMIF('2020 CNESER'!$C$4:$C$76,'2021 CNESER'!$C63,'2020 CNESER'!$L$4:$L$76)</f>
        <v>3.8724525532837464E-2</v>
      </c>
      <c r="M64" s="20">
        <f t="shared" si="12"/>
        <v>5194.3739665448957</v>
      </c>
      <c r="N64" s="215">
        <f>J64/K64*100</f>
        <v>6.4049401159004233</v>
      </c>
      <c r="O64" s="192">
        <f t="shared" si="16"/>
        <v>-66.743958173939632</v>
      </c>
      <c r="P64" s="198">
        <f t="shared" si="17"/>
        <v>-7690826.4450549632</v>
      </c>
      <c r="Q64" s="218">
        <f t="shared" si="6"/>
        <v>0</v>
      </c>
      <c r="R64" s="198">
        <f t="shared" si="7"/>
        <v>0</v>
      </c>
      <c r="S64" s="138">
        <f t="shared" si="13"/>
        <v>75081.890708949417</v>
      </c>
      <c r="T64" s="96">
        <f t="shared" si="14"/>
        <v>0.92579975349613675</v>
      </c>
      <c r="U64" s="93"/>
      <c r="V64" s="93"/>
      <c r="W64" s="93"/>
      <c r="X64" s="93"/>
      <c r="Y64" s="93"/>
      <c r="Z64" s="93"/>
      <c r="AA64" s="93"/>
      <c r="AB64" s="93"/>
      <c r="AC64" s="93"/>
      <c r="AD64" s="93"/>
      <c r="AE64" s="93"/>
      <c r="AF64" s="93"/>
      <c r="AG64" s="93"/>
      <c r="AH64" s="93"/>
      <c r="AI64" s="93"/>
      <c r="AJ64" s="93"/>
      <c r="AK64" s="93"/>
      <c r="AL64" s="93"/>
      <c r="AM64" s="93"/>
      <c r="AN64" s="93"/>
      <c r="AO64" s="93"/>
      <c r="AP64" s="93"/>
      <c r="AQ64" s="93"/>
      <c r="AR64" s="93"/>
      <c r="AS64" s="93"/>
      <c r="AT64" s="93"/>
      <c r="AU64" s="93"/>
      <c r="AV64" s="93"/>
      <c r="AW64" s="93"/>
      <c r="AX64" s="93"/>
      <c r="AY64" s="93"/>
      <c r="AZ64" s="93"/>
      <c r="BA64" s="93"/>
      <c r="BB64" s="93"/>
      <c r="BC64" s="93"/>
      <c r="BD64" s="93"/>
      <c r="BE64" s="93"/>
      <c r="BF64" s="93"/>
      <c r="BG64" s="93"/>
      <c r="BH64" s="93"/>
      <c r="BI64" s="93"/>
      <c r="BJ64" s="93"/>
      <c r="BK64" s="93"/>
      <c r="BL64" s="93"/>
      <c r="BM64" s="93"/>
      <c r="BN64" s="93"/>
      <c r="BO64" s="93"/>
      <c r="BP64" s="93"/>
      <c r="BQ64" s="93"/>
      <c r="BR64" s="93"/>
      <c r="BS64" s="93"/>
      <c r="BT64" s="93"/>
      <c r="BU64" s="93"/>
      <c r="BV64" s="93"/>
      <c r="BW64" s="93"/>
      <c r="BX64" s="93"/>
      <c r="BY64" s="93"/>
      <c r="BZ64" s="93"/>
      <c r="CA64" s="93"/>
      <c r="CB64" s="93"/>
      <c r="CC64" s="93"/>
      <c r="CD64" s="93"/>
      <c r="CE64" s="93"/>
      <c r="CF64" s="93"/>
      <c r="CG64" s="93"/>
      <c r="CH64" s="93"/>
    </row>
    <row r="65" spans="1:86">
      <c r="A65" s="18" t="s">
        <v>211</v>
      </c>
      <c r="B65" s="150" t="s">
        <v>39</v>
      </c>
      <c r="C65" s="150" t="s">
        <v>167</v>
      </c>
      <c r="D65" s="150" t="s">
        <v>252</v>
      </c>
      <c r="E65" s="210">
        <v>118402068</v>
      </c>
      <c r="F65" s="187">
        <f>(SUMIF(C$4:C$71,C65,E$4:E$71)-SUMIF('2020 CNESER'!C$4:C$71,C65,'2020 CNESER'!E$4:E$71))/SUMIF('2020 CNESER'!C$4:C$71,C65,'2020 CNESER'!E$4:E$71)</f>
        <v>1.1525922995943929E-2</v>
      </c>
      <c r="G65" s="210">
        <v>124109493</v>
      </c>
      <c r="H65" s="187">
        <f>(SUMIF(C$4:C$71,C65,G$4:G$71)-SUMIF('2020 CNESER'!C$4:C$71,C65,'2020 CNESER'!G$4:G$71))/SUMIF('2020 CNESER'!C$4:C$71,C65,'2020 CNESER'!G$4:G$71)</f>
        <v>1.1442772409948404E-2</v>
      </c>
      <c r="I65" s="151">
        <f>SUMIF('2020 CNESER'!$C$4:$C$77,C65,'2020 CNESER'!$I$4:$I$77)</f>
        <v>1530</v>
      </c>
      <c r="J65" s="151">
        <f t="shared" si="11"/>
        <v>1540.9046785054752</v>
      </c>
      <c r="K65" s="176">
        <v>23233</v>
      </c>
      <c r="L65" s="180">
        <f>(SUMIF('2021 CNESER'!$C$4:$C$76,'2021 CNESER'!$C64,'2021 CNESER'!$K$4:$K$76)-SUMIF('2020 CNESER'!$C$4:$C$76,'2021 CNESER'!$C64,'2020 CNESER'!$L$4:$L$76))/SUMIF('2020 CNESER'!$C$4:$C$76,'2021 CNESER'!$C64,'2020 CNESER'!$L$4:$L$76)</f>
        <v>1.9737272073720672E-2</v>
      </c>
      <c r="M65" s="20">
        <f t="shared" si="12"/>
        <v>5341.9486506262647</v>
      </c>
      <c r="N65" s="215">
        <f>J65/K65*100</f>
        <v>6.6323964985386095</v>
      </c>
      <c r="O65" s="192">
        <f t="shared" si="16"/>
        <v>-152.22726402494527</v>
      </c>
      <c r="P65" s="198">
        <f t="shared" si="17"/>
        <v>-14880308.768567711</v>
      </c>
      <c r="Q65" s="218">
        <f t="shared" si="6"/>
        <v>0</v>
      </c>
      <c r="R65" s="198">
        <f t="shared" si="7"/>
        <v>0</v>
      </c>
      <c r="S65" s="138">
        <f t="shared" si="13"/>
        <v>76839.320206904857</v>
      </c>
      <c r="T65" s="96">
        <f t="shared" si="14"/>
        <v>0.95401298593653916</v>
      </c>
      <c r="U65" s="93"/>
      <c r="V65" s="93"/>
      <c r="W65" s="93"/>
      <c r="X65" s="93"/>
      <c r="Y65" s="93"/>
      <c r="Z65" s="93"/>
      <c r="AA65" s="93"/>
      <c r="AB65" s="93"/>
      <c r="AC65" s="93"/>
      <c r="AD65" s="93"/>
      <c r="AE65" s="93"/>
      <c r="AF65" s="93"/>
      <c r="AG65" s="93"/>
      <c r="AH65" s="93"/>
      <c r="AI65" s="93"/>
      <c r="AJ65" s="93"/>
      <c r="AK65" s="93"/>
      <c r="AL65" s="93"/>
      <c r="AM65" s="93"/>
      <c r="AN65" s="93"/>
      <c r="AO65" s="93"/>
      <c r="AP65" s="93"/>
      <c r="AQ65" s="93"/>
      <c r="AR65" s="93"/>
      <c r="AS65" s="93"/>
      <c r="AT65" s="93"/>
      <c r="AU65" s="93"/>
      <c r="AV65" s="93"/>
      <c r="AW65" s="93"/>
      <c r="AX65" s="93"/>
      <c r="AY65" s="93"/>
      <c r="AZ65" s="93"/>
      <c r="BA65" s="93"/>
      <c r="BB65" s="93"/>
      <c r="BC65" s="93"/>
      <c r="BD65" s="93"/>
      <c r="BE65" s="93"/>
      <c r="BF65" s="93"/>
      <c r="BG65" s="93"/>
      <c r="BH65" s="93"/>
      <c r="BI65" s="93"/>
      <c r="BJ65" s="93"/>
      <c r="BK65" s="93"/>
      <c r="BL65" s="93"/>
      <c r="BM65" s="93"/>
      <c r="BN65" s="93"/>
      <c r="BO65" s="93"/>
      <c r="BP65" s="93"/>
      <c r="BQ65" s="93"/>
      <c r="BR65" s="93"/>
      <c r="BS65" s="93"/>
      <c r="BT65" s="93"/>
      <c r="BU65" s="93"/>
      <c r="BV65" s="93"/>
      <c r="BW65" s="93"/>
      <c r="BX65" s="93"/>
      <c r="BY65" s="93"/>
      <c r="BZ65" s="93"/>
      <c r="CA65" s="93"/>
      <c r="CB65" s="93"/>
      <c r="CC65" s="93"/>
      <c r="CD65" s="93"/>
      <c r="CE65" s="93"/>
      <c r="CF65" s="93"/>
      <c r="CG65" s="93"/>
      <c r="CH65" s="93"/>
    </row>
    <row r="66" spans="1:86">
      <c r="A66" s="18" t="s">
        <v>211</v>
      </c>
      <c r="B66" s="150" t="s">
        <v>39</v>
      </c>
      <c r="C66" s="150" t="s">
        <v>168</v>
      </c>
      <c r="D66" s="150" t="s">
        <v>247</v>
      </c>
      <c r="E66" s="210">
        <v>161151059</v>
      </c>
      <c r="F66" s="187">
        <f>(SUMIF(C$4:C$71,C66,E$4:E$71)-SUMIF('2020 CNESER'!C$4:C$71,C66,'2020 CNESER'!E$4:E$71))/SUMIF('2020 CNESER'!C$4:C$71,C66,'2020 CNESER'!E$4:E$71)</f>
        <v>1.197751509376681E-2</v>
      </c>
      <c r="G66" s="210">
        <v>172535150</v>
      </c>
      <c r="H66" s="187">
        <f>(SUMIF(C$4:C$71,C66,G$4:G$71)-SUMIF('2020 CNESER'!C$4:C$71,C66,'2020 CNESER'!G$4:G$71))/SUMIF('2020 CNESER'!C$4:C$71,C66,'2020 CNESER'!G$4:G$71)</f>
        <v>1.2653292470855511E-2</v>
      </c>
      <c r="I66" s="151">
        <f>SUMIF('2020 CNESER'!$C$4:$C$77,C66,'2020 CNESER'!$I$4:$I$77)</f>
        <v>2154</v>
      </c>
      <c r="J66" s="151">
        <f t="shared" si="11"/>
        <v>2170.0547147924835</v>
      </c>
      <c r="K66" s="176">
        <v>31523</v>
      </c>
      <c r="L66" s="180">
        <f>(SUMIF('2021 CNESER'!$C$4:$C$76,'2021 CNESER'!$C62,'2021 CNESER'!$K$4:$K$76)-SUMIF('2020 CNESER'!$C$4:$C$76,'2021 CNESER'!$C62,'2020 CNESER'!$L$4:$L$76))/SUMIF('2020 CNESER'!$C$4:$C$76,'2021 CNESER'!$C62,'2020 CNESER'!$L$4:$L$76)</f>
        <v>6.4497186200146814E-2</v>
      </c>
      <c r="M66" s="20">
        <f t="shared" si="12"/>
        <v>5473.309964153158</v>
      </c>
      <c r="N66" s="215">
        <f>I66/K66*100</f>
        <v>6.8331059861053838</v>
      </c>
      <c r="O66" s="192">
        <f t="shared" si="16"/>
        <v>-285.86936909155202</v>
      </c>
      <c r="P66" s="198">
        <f t="shared" si="17"/>
        <v>-24330803.831728995</v>
      </c>
      <c r="Q66" s="218">
        <f t="shared" si="6"/>
        <v>0</v>
      </c>
      <c r="R66" s="198">
        <f t="shared" si="7"/>
        <v>0</v>
      </c>
      <c r="S66" s="138">
        <f t="shared" si="13"/>
        <v>74261.28839125167</v>
      </c>
      <c r="T66" s="96">
        <f t="shared" si="14"/>
        <v>0.93401871444746187</v>
      </c>
      <c r="U66" s="93"/>
      <c r="V66" s="93"/>
      <c r="W66" s="93"/>
      <c r="X66" s="93"/>
      <c r="Y66" s="93"/>
      <c r="Z66" s="93"/>
      <c r="AA66" s="93"/>
      <c r="AB66" s="93"/>
      <c r="AC66" s="93"/>
      <c r="AD66" s="93"/>
      <c r="AE66" s="93"/>
      <c r="AF66" s="93"/>
      <c r="AG66" s="93"/>
      <c r="AH66" s="93"/>
      <c r="AI66" s="93"/>
      <c r="AJ66" s="93"/>
      <c r="AK66" s="93"/>
      <c r="AL66" s="93"/>
      <c r="AM66" s="93"/>
      <c r="AN66" s="93"/>
      <c r="AO66" s="93"/>
      <c r="AP66" s="93"/>
      <c r="AQ66" s="93"/>
      <c r="AR66" s="93"/>
      <c r="AS66" s="93"/>
      <c r="AT66" s="93"/>
      <c r="AU66" s="93"/>
      <c r="AV66" s="93"/>
      <c r="AW66" s="93"/>
      <c r="AX66" s="93"/>
      <c r="AY66" s="93"/>
      <c r="AZ66" s="93"/>
      <c r="BA66" s="93"/>
      <c r="BB66" s="93"/>
      <c r="BC66" s="93"/>
      <c r="BD66" s="93"/>
      <c r="BE66" s="93"/>
      <c r="BF66" s="93"/>
      <c r="BG66" s="93"/>
      <c r="BH66" s="93"/>
      <c r="BI66" s="93"/>
      <c r="BJ66" s="93"/>
      <c r="BK66" s="93"/>
      <c r="BL66" s="93"/>
      <c r="BM66" s="93"/>
      <c r="BN66" s="93"/>
      <c r="BO66" s="93"/>
      <c r="BP66" s="93"/>
      <c r="BQ66" s="93"/>
      <c r="BR66" s="93"/>
      <c r="BS66" s="93"/>
      <c r="BT66" s="93"/>
      <c r="BU66" s="93"/>
      <c r="BV66" s="93"/>
      <c r="BW66" s="93"/>
      <c r="BX66" s="93"/>
      <c r="BY66" s="93"/>
      <c r="BZ66" s="93"/>
      <c r="CA66" s="93"/>
      <c r="CB66" s="93"/>
      <c r="CC66" s="93"/>
      <c r="CD66" s="93"/>
      <c r="CE66" s="93"/>
      <c r="CF66" s="93"/>
      <c r="CG66" s="93"/>
      <c r="CH66" s="93"/>
    </row>
    <row r="67" spans="1:86">
      <c r="A67" s="18" t="s">
        <v>211</v>
      </c>
      <c r="B67" s="150" t="s">
        <v>4</v>
      </c>
      <c r="C67" s="150" t="s">
        <v>172</v>
      </c>
      <c r="D67" s="150" t="s">
        <v>255</v>
      </c>
      <c r="E67" s="210">
        <v>86852059</v>
      </c>
      <c r="F67" s="187">
        <f>(SUMIF(C$4:C$71,C67,E$4:E$71)-SUMIF('2020 CNESER'!C$4:C$71,C67,'2020 CNESER'!E$4:E$71))/SUMIF('2020 CNESER'!C$4:C$71,C67,'2020 CNESER'!E$4:E$71)</f>
        <v>8.4295044778491483E-3</v>
      </c>
      <c r="G67" s="210">
        <v>95485454</v>
      </c>
      <c r="H67" s="187">
        <f>(SUMIF(C$4:C$71,C67,G$4:G$71)-SUMIF('2020 CNESER'!C$4:C$71,C67,'2020 CNESER'!G$4:G$71))/SUMIF('2020 CNESER'!C$4:C$71,C67,'2020 CNESER'!G$4:G$71)</f>
        <v>1.1507904131053428E-2</v>
      </c>
      <c r="I67" s="151">
        <f>SUMIF('2020 CNESER'!$C$4:$C$77,C67,'2020 CNESER'!$I$4:$I$77)</f>
        <v>1173</v>
      </c>
      <c r="J67" s="151">
        <f t="shared" si="11"/>
        <v>1176.5167911041819</v>
      </c>
      <c r="K67" s="176">
        <v>15638</v>
      </c>
      <c r="L67" s="180">
        <f>(SUMIF('2021 CNESER'!$C$4:$C$76,'2021 CNESER'!$C66,'2021 CNESER'!$K$4:$K$76)-SUMIF('2020 CNESER'!$C$4:$C$76,'2021 CNESER'!$C66,'2020 CNESER'!$L$4:$L$76))/SUMIF('2020 CNESER'!$C$4:$C$76,'2021 CNESER'!$C66,'2020 CNESER'!$L$4:$L$76)</f>
        <v>2.8281576200417536E-2</v>
      </c>
      <c r="M67" s="20">
        <f t="shared" si="12"/>
        <v>6105.98887325745</v>
      </c>
      <c r="N67" s="215">
        <f>I67/K67*100</f>
        <v>7.5009592019439824</v>
      </c>
      <c r="O67" s="192">
        <f t="shared" si="16"/>
        <v>-241.80593122183666</v>
      </c>
      <c r="P67" s="198">
        <f t="shared" si="17"/>
        <v>-21963912.097915113</v>
      </c>
      <c r="Q67" s="218">
        <f t="shared" si="6"/>
        <v>0</v>
      </c>
      <c r="R67" s="198">
        <f t="shared" si="7"/>
        <v>0</v>
      </c>
      <c r="S67" s="138">
        <f t="shared" si="13"/>
        <v>73821.351005528617</v>
      </c>
      <c r="T67" s="96">
        <f t="shared" si="14"/>
        <v>0.90958418650865924</v>
      </c>
      <c r="U67" s="93"/>
      <c r="V67" s="93"/>
      <c r="W67" s="93"/>
      <c r="X67" s="93"/>
      <c r="Y67" s="93"/>
      <c r="Z67" s="93"/>
      <c r="AA67" s="93"/>
      <c r="AB67" s="93"/>
      <c r="AC67" s="93"/>
      <c r="AD67" s="93"/>
      <c r="AE67" s="93"/>
      <c r="AF67" s="93"/>
      <c r="AG67" s="93"/>
      <c r="AH67" s="93"/>
      <c r="AI67" s="93"/>
      <c r="AJ67" s="93"/>
      <c r="AK67" s="93"/>
      <c r="AL67" s="93"/>
      <c r="AM67" s="93"/>
      <c r="AN67" s="93"/>
      <c r="AO67" s="93"/>
      <c r="AP67" s="93"/>
      <c r="AQ67" s="93"/>
      <c r="AR67" s="93"/>
      <c r="AS67" s="93"/>
      <c r="AT67" s="93"/>
      <c r="AU67" s="93"/>
      <c r="AV67" s="93"/>
      <c r="AW67" s="93"/>
      <c r="AX67" s="93"/>
      <c r="AY67" s="93"/>
      <c r="AZ67" s="93"/>
      <c r="BA67" s="93"/>
      <c r="BB67" s="93"/>
      <c r="BC67" s="93"/>
      <c r="BD67" s="93"/>
      <c r="BE67" s="93"/>
      <c r="BF67" s="93"/>
      <c r="BG67" s="93"/>
      <c r="BH67" s="93"/>
      <c r="BI67" s="93"/>
      <c r="BJ67" s="93"/>
      <c r="BK67" s="93"/>
      <c r="BL67" s="93"/>
      <c r="BM67" s="93"/>
      <c r="BN67" s="93"/>
      <c r="BO67" s="93"/>
      <c r="BP67" s="93"/>
      <c r="BQ67" s="93"/>
      <c r="BR67" s="93"/>
      <c r="BS67" s="93"/>
      <c r="BT67" s="93"/>
      <c r="BU67" s="93"/>
      <c r="BV67" s="93"/>
      <c r="BW67" s="93"/>
      <c r="BX67" s="93"/>
      <c r="BY67" s="93"/>
      <c r="BZ67" s="93"/>
      <c r="CA67" s="93"/>
      <c r="CB67" s="93"/>
      <c r="CC67" s="93"/>
      <c r="CD67" s="93"/>
      <c r="CE67" s="93"/>
      <c r="CF67" s="93"/>
      <c r="CG67" s="93"/>
      <c r="CH67" s="93"/>
    </row>
    <row r="68" spans="1:86">
      <c r="A68" s="154" t="s">
        <v>212</v>
      </c>
      <c r="B68" s="155" t="s">
        <v>6</v>
      </c>
      <c r="C68" s="155" t="s">
        <v>160</v>
      </c>
      <c r="D68" s="155" t="s">
        <v>243</v>
      </c>
      <c r="E68" s="211">
        <v>85311962</v>
      </c>
      <c r="F68" s="186">
        <f>(SUMIF(C$4:C$71,C68,E$4:E$71)-SUMIF('2020 CNESER'!C$4:C$71,C68,'2020 CNESER'!E$4:E$71))/SUMIF('2020 CNESER'!C$4:C$71,C68,'2020 CNESER'!E$4:E$71)</f>
        <v>1.1349100730270673E-2</v>
      </c>
      <c r="G68" s="211">
        <v>91990298</v>
      </c>
      <c r="H68" s="186">
        <f>(SUMIF(C$4:C$71,C68,G$4:G$71)-SUMIF('2020 CNESER'!C$4:C$71,C68,'2020 CNESER'!G$4:G$71))/SUMIF('2020 CNESER'!C$4:C$71,C68,'2020 CNESER'!G$4:G$71)</f>
        <v>1.0174707167509496E-2</v>
      </c>
      <c r="I68" s="156">
        <f>SUMIF('2020 CNESER'!$C$4:$C$77,C68,'2020 CNESER'!$I$4:$I$77)</f>
        <v>1206</v>
      </c>
      <c r="J68" s="156">
        <f t="shared" ref="J68:J71" si="18">I68+((F68-0.6%)*E68)/60000</f>
        <v>1213.6057046372505</v>
      </c>
      <c r="K68" s="177">
        <v>25219</v>
      </c>
      <c r="L68" s="181">
        <f>(SUMIF('2021 CNESER'!$C$4:$C$76,'2021 CNESER'!$C67,'2021 CNESER'!$K$4:$K$76)-SUMIF('2020 CNESER'!$C$4:$C$76,'2021 CNESER'!$C67,'2020 CNESER'!$L$4:$L$76))/SUMIF('2020 CNESER'!$C$4:$C$76,'2021 CNESER'!$C67,'2020 CNESER'!$L$4:$L$76)</f>
        <v>-2.127925898109901E-2</v>
      </c>
      <c r="M68" s="15">
        <f t="shared" ref="M68:M76" si="19">G68/K68</f>
        <v>3647.6584321345017</v>
      </c>
      <c r="N68" s="216">
        <f>I68/K68*100</f>
        <v>4.7821087275466914</v>
      </c>
      <c r="O68" s="199">
        <f t="shared" si="16"/>
        <v>293.77843498244897</v>
      </c>
      <c r="P68" s="200">
        <f t="shared" si="17"/>
        <v>26575999.814853474</v>
      </c>
      <c r="Q68" s="217">
        <f t="shared" si="6"/>
        <v>17626706.098946936</v>
      </c>
      <c r="R68" s="197">
        <f t="shared" si="7"/>
        <v>8949293.7159065381</v>
      </c>
      <c r="S68" s="138">
        <f t="shared" si="13"/>
        <v>70296.276355671827</v>
      </c>
      <c r="T68" s="96">
        <f t="shared" si="14"/>
        <v>0.92740173534387293</v>
      </c>
      <c r="U68" s="93"/>
      <c r="V68" s="93"/>
      <c r="W68" s="93"/>
      <c r="X68" s="93"/>
      <c r="Y68" s="93"/>
      <c r="Z68" s="93"/>
      <c r="AA68" s="93"/>
      <c r="AB68" s="93"/>
      <c r="AC68" s="93"/>
      <c r="AD68" s="93"/>
      <c r="AE68" s="93"/>
      <c r="AF68" s="93"/>
      <c r="AG68" s="93"/>
      <c r="AH68" s="93"/>
      <c r="AI68" s="93"/>
      <c r="AJ68" s="93"/>
      <c r="AK68" s="93"/>
      <c r="AL68" s="93"/>
      <c r="AM68" s="93"/>
      <c r="AN68" s="93"/>
      <c r="AO68" s="93"/>
      <c r="AP68" s="93"/>
      <c r="AQ68" s="93"/>
      <c r="AR68" s="93"/>
      <c r="AS68" s="93"/>
      <c r="AT68" s="93"/>
      <c r="AU68" s="93"/>
      <c r="AV68" s="93"/>
      <c r="AW68" s="93"/>
      <c r="AX68" s="93"/>
      <c r="AY68" s="93"/>
      <c r="AZ68" s="93"/>
      <c r="BA68" s="93"/>
      <c r="BB68" s="93"/>
      <c r="BC68" s="93"/>
      <c r="BD68" s="93"/>
      <c r="BE68" s="93"/>
      <c r="BF68" s="93"/>
      <c r="BG68" s="93"/>
      <c r="BH68" s="93"/>
      <c r="BI68" s="93"/>
      <c r="BJ68" s="93"/>
      <c r="BK68" s="93"/>
      <c r="BL68" s="93"/>
      <c r="BM68" s="93"/>
      <c r="BN68" s="93"/>
      <c r="BO68" s="93"/>
      <c r="BP68" s="93"/>
      <c r="BQ68" s="93"/>
      <c r="BR68" s="93"/>
      <c r="BS68" s="93"/>
      <c r="BT68" s="93"/>
      <c r="BU68" s="93"/>
      <c r="BV68" s="93"/>
      <c r="BW68" s="93"/>
      <c r="BX68" s="93"/>
      <c r="BY68" s="93"/>
      <c r="BZ68" s="93"/>
      <c r="CA68" s="93"/>
      <c r="CB68" s="93"/>
      <c r="CC68" s="93"/>
      <c r="CD68" s="93"/>
      <c r="CE68" s="93"/>
      <c r="CF68" s="93"/>
      <c r="CG68" s="93"/>
      <c r="CH68" s="93"/>
    </row>
    <row r="69" spans="1:86">
      <c r="A69" s="154" t="s">
        <v>212</v>
      </c>
      <c r="B69" s="155" t="s">
        <v>6</v>
      </c>
      <c r="C69" s="155" t="s">
        <v>163</v>
      </c>
      <c r="D69" s="155" t="s">
        <v>255</v>
      </c>
      <c r="E69" s="211">
        <v>65718045</v>
      </c>
      <c r="F69" s="186">
        <f>(SUMIF(C$4:C$71,C69,E$4:E$71)-SUMIF('2020 CNESER'!C$4:C$71,C69,'2020 CNESER'!E$4:E$71))/SUMIF('2020 CNESER'!C$4:C$71,C69,'2020 CNESER'!E$4:E$71)</f>
        <v>4.8867665962399297E-3</v>
      </c>
      <c r="G69" s="211">
        <v>71131144</v>
      </c>
      <c r="H69" s="186">
        <f>(SUMIF(C$4:C$71,C69,G$4:G$71)-SUMIF('2020 CNESER'!C$4:C$71,C69,'2020 CNESER'!G$4:G$71))/SUMIF('2020 CNESER'!C$4:C$71,C69,'2020 CNESER'!G$4:G$71)</f>
        <v>5.8967823671180527E-3</v>
      </c>
      <c r="I69" s="156">
        <f>SUMIF('2020 CNESER'!$C$4:$C$77,C69,'2020 CNESER'!$I$4:$I$77)</f>
        <v>926</v>
      </c>
      <c r="J69" s="156">
        <f t="shared" si="18"/>
        <v>924.7806746179366</v>
      </c>
      <c r="K69" s="177">
        <v>18890</v>
      </c>
      <c r="L69" s="181">
        <f>(SUMIF('2021 CNESER'!$C$4:$C$76,'2021 CNESER'!$C68,'2021 CNESER'!$K$4:$K$76)-SUMIF('2020 CNESER'!$C$4:$C$76,'2021 CNESER'!$C68,'2020 CNESER'!$L$4:$L$76))/SUMIF('2020 CNESER'!$C$4:$C$76,'2021 CNESER'!$C68,'2020 CNESER'!$L$4:$L$76)</f>
        <v>0</v>
      </c>
      <c r="M69" s="15">
        <f t="shared" si="19"/>
        <v>3765.5449444150345</v>
      </c>
      <c r="N69" s="216">
        <f>I69/K69*100</f>
        <v>4.9020645844362098</v>
      </c>
      <c r="O69" s="199">
        <f t="shared" si="16"/>
        <v>204.30796479742992</v>
      </c>
      <c r="P69" s="200">
        <f t="shared" si="17"/>
        <v>17679568.784907505</v>
      </c>
      <c r="Q69" s="217">
        <f t="shared" ref="Q69:Q71" si="20">IF(O69&gt;0,O69*60000,0)</f>
        <v>12258477.887845796</v>
      </c>
      <c r="R69" s="197">
        <f t="shared" ref="R69:R71" si="21">IF(P69&gt;0,P69-Q69,0)</f>
        <v>5421090.8970617093</v>
      </c>
      <c r="S69" s="138">
        <f t="shared" si="13"/>
        <v>71063.384869229369</v>
      </c>
      <c r="T69" s="96">
        <f t="shared" si="14"/>
        <v>0.92389973370876755</v>
      </c>
      <c r="U69" s="93"/>
      <c r="V69" s="93"/>
      <c r="W69" s="93"/>
      <c r="X69" s="93"/>
      <c r="Y69" s="93"/>
      <c r="Z69" s="93"/>
      <c r="AA69" s="93"/>
      <c r="AB69" s="93"/>
      <c r="AC69" s="93"/>
      <c r="AD69" s="93"/>
      <c r="AE69" s="93"/>
      <c r="AF69" s="93"/>
      <c r="AG69" s="93"/>
      <c r="AH69" s="93"/>
      <c r="AI69" s="93"/>
      <c r="AJ69" s="93"/>
      <c r="AK69" s="93"/>
      <c r="AL69" s="93"/>
      <c r="AM69" s="93"/>
      <c r="AN69" s="93"/>
      <c r="AO69" s="93"/>
      <c r="AP69" s="93"/>
      <c r="AQ69" s="93"/>
      <c r="AR69" s="93"/>
      <c r="AS69" s="93"/>
      <c r="AT69" s="93"/>
      <c r="AU69" s="93"/>
      <c r="AV69" s="93"/>
      <c r="AW69" s="93"/>
      <c r="AX69" s="93"/>
      <c r="AY69" s="93"/>
      <c r="AZ69" s="93"/>
      <c r="BA69" s="93"/>
      <c r="BB69" s="93"/>
      <c r="BC69" s="93"/>
      <c r="BD69" s="93"/>
      <c r="BE69" s="93"/>
      <c r="BF69" s="93"/>
      <c r="BG69" s="93"/>
      <c r="BH69" s="93"/>
      <c r="BI69" s="93"/>
      <c r="BJ69" s="93"/>
      <c r="BK69" s="93"/>
      <c r="BL69" s="93"/>
      <c r="BM69" s="93"/>
      <c r="BN69" s="93"/>
      <c r="BO69" s="93"/>
      <c r="BP69" s="93"/>
      <c r="BQ69" s="93"/>
      <c r="BR69" s="93"/>
      <c r="BS69" s="93"/>
      <c r="BT69" s="93"/>
      <c r="BU69" s="93"/>
      <c r="BV69" s="93"/>
      <c r="BW69" s="93"/>
      <c r="BX69" s="93"/>
      <c r="BY69" s="93"/>
      <c r="BZ69" s="93"/>
      <c r="CA69" s="93"/>
      <c r="CB69" s="93"/>
      <c r="CC69" s="93"/>
      <c r="CD69" s="93"/>
      <c r="CE69" s="93"/>
      <c r="CF69" s="93"/>
      <c r="CG69" s="93"/>
      <c r="CH69" s="93"/>
    </row>
    <row r="70" spans="1:86">
      <c r="A70" s="154" t="s">
        <v>212</v>
      </c>
      <c r="B70" s="155" t="s">
        <v>18</v>
      </c>
      <c r="C70" s="155" t="s">
        <v>175</v>
      </c>
      <c r="D70" s="155" t="s">
        <v>257</v>
      </c>
      <c r="E70" s="211">
        <v>75581924</v>
      </c>
      <c r="F70" s="186">
        <f>(SUMIF(C$4:C$71,C70,E$4:E$71)-SUMIF('2020 CNESER'!C$4:C$71,C70,'2020 CNESER'!E$4:E$71))/SUMIF('2020 CNESER'!C$4:C$71,C70,'2020 CNESER'!E$4:E$71)</f>
        <v>9.3236401736638812E-3</v>
      </c>
      <c r="G70" s="211">
        <v>85797699</v>
      </c>
      <c r="H70" s="186">
        <f>(SUMIF(C$4:C$71,C70,G$4:G$71)-SUMIF('2020 CNESER'!C$4:C$71,C70,'2020 CNESER'!G$4:G$71))/SUMIF('2020 CNESER'!C$4:C$71,C70,'2020 CNESER'!G$4:G$71)</f>
        <v>8.6241796200467249E-3</v>
      </c>
      <c r="I70" s="156">
        <f>SUMIF('2020 CNESER'!$C$4:$C$77,C70,'2020 CNESER'!$I$4:$I$77)</f>
        <v>1030</v>
      </c>
      <c r="J70" s="156">
        <f t="shared" si="18"/>
        <v>1034.1867853168201</v>
      </c>
      <c r="K70" s="177">
        <v>19722</v>
      </c>
      <c r="L70" s="181">
        <f>(SUMIF('2021 CNESER'!$C$4:$C$76,'2021 CNESER'!$C69,'2021 CNESER'!$K$4:$K$76)-SUMIF('2020 CNESER'!$C$4:$C$76,'2021 CNESER'!$C69,'2020 CNESER'!$L$4:$L$76))/SUMIF('2020 CNESER'!$C$4:$C$76,'2021 CNESER'!$C69,'2020 CNESER'!$L$4:$L$76)</f>
        <v>7.5740318906605916E-2</v>
      </c>
      <c r="M70" s="15">
        <f t="shared" si="19"/>
        <v>4350.3548828719195</v>
      </c>
      <c r="N70" s="216">
        <f>I70/K70*100</f>
        <v>5.2225940573978304</v>
      </c>
      <c r="O70" s="199">
        <f t="shared" si="16"/>
        <v>144.63196251535874</v>
      </c>
      <c r="P70" s="200">
        <f t="shared" si="17"/>
        <v>6924634.379774794</v>
      </c>
      <c r="Q70" s="217">
        <f t="shared" si="20"/>
        <v>8677917.7509215251</v>
      </c>
      <c r="R70" s="198">
        <f t="shared" si="21"/>
        <v>-1753283.3711467311</v>
      </c>
      <c r="S70" s="138">
        <f t="shared" si="13"/>
        <v>73083.436254550194</v>
      </c>
      <c r="T70" s="96">
        <f t="shared" si="14"/>
        <v>0.88093183011819465</v>
      </c>
      <c r="U70" s="93"/>
      <c r="V70" s="93"/>
      <c r="W70" s="93"/>
      <c r="X70" s="93"/>
      <c r="Y70" s="93"/>
      <c r="Z70" s="93"/>
      <c r="AA70" s="93"/>
      <c r="AB70" s="93"/>
      <c r="AC70" s="93"/>
      <c r="AD70" s="93"/>
      <c r="AE70" s="93"/>
      <c r="AF70" s="93"/>
      <c r="AG70" s="93"/>
      <c r="AH70" s="93"/>
      <c r="AI70" s="93"/>
      <c r="AJ70" s="93"/>
      <c r="AK70" s="93"/>
      <c r="AL70" s="93"/>
      <c r="AM70" s="93"/>
      <c r="AN70" s="93"/>
      <c r="AO70" s="93"/>
      <c r="AP70" s="93"/>
      <c r="AQ70" s="93"/>
      <c r="AR70" s="93"/>
      <c r="AS70" s="93"/>
      <c r="AT70" s="93"/>
      <c r="AU70" s="93"/>
      <c r="AV70" s="93"/>
      <c r="AW70" s="93"/>
      <c r="AX70" s="93"/>
      <c r="AY70" s="93"/>
      <c r="AZ70" s="93"/>
      <c r="BA70" s="93"/>
      <c r="BB70" s="93"/>
      <c r="BC70" s="93"/>
      <c r="BD70" s="93"/>
      <c r="BE70" s="93"/>
      <c r="BF70" s="93"/>
      <c r="BG70" s="93"/>
      <c r="BH70" s="93"/>
      <c r="BI70" s="93"/>
      <c r="BJ70" s="93"/>
      <c r="BK70" s="93"/>
      <c r="BL70" s="93"/>
      <c r="BM70" s="93"/>
      <c r="BN70" s="93"/>
      <c r="BO70" s="93"/>
      <c r="BP70" s="93"/>
      <c r="BQ70" s="93"/>
      <c r="BR70" s="93"/>
      <c r="BS70" s="93"/>
      <c r="BT70" s="93"/>
      <c r="BU70" s="93"/>
      <c r="BV70" s="93"/>
      <c r="BW70" s="93"/>
      <c r="BX70" s="93"/>
      <c r="BY70" s="93"/>
      <c r="BZ70" s="93"/>
      <c r="CA70" s="93"/>
      <c r="CB70" s="93"/>
      <c r="CC70" s="93"/>
      <c r="CD70" s="93"/>
      <c r="CE70" s="93"/>
      <c r="CF70" s="93"/>
      <c r="CG70" s="93"/>
      <c r="CH70" s="93"/>
    </row>
    <row r="71" spans="1:86">
      <c r="A71" s="154" t="s">
        <v>212</v>
      </c>
      <c r="B71" s="155" t="s">
        <v>4</v>
      </c>
      <c r="C71" s="155" t="s">
        <v>164</v>
      </c>
      <c r="D71" s="155" t="s">
        <v>255</v>
      </c>
      <c r="E71" s="211">
        <v>165992228</v>
      </c>
      <c r="F71" s="186">
        <f>(SUMIF(C$4:C$71,C71,E$4:E$71)-SUMIF('2020 CNESER'!C$4:C$71,C71,'2020 CNESER'!E$4:E$71))/SUMIF('2020 CNESER'!C$4:C$71,C71,'2020 CNESER'!E$4:E$71)</f>
        <v>8.5207712390627174E-3</v>
      </c>
      <c r="G71" s="211">
        <v>180237857</v>
      </c>
      <c r="H71" s="186">
        <f>(SUMIF(C$4:C$71,C71,G$4:G$71)-SUMIF('2020 CNESER'!C$4:C$71,C71,'2020 CNESER'!G$4:G$71))/SUMIF('2020 CNESER'!C$4:C$71,C71,'2020 CNESER'!G$4:G$71)</f>
        <v>6.6137611422686588E-3</v>
      </c>
      <c r="I71" s="156">
        <f>SUMIF('2020 CNESER'!$C$4:$C$77,C71,'2020 CNESER'!$I$4:$I$77)</f>
        <v>2340</v>
      </c>
      <c r="J71" s="156">
        <f t="shared" si="18"/>
        <v>2346.9738072375058</v>
      </c>
      <c r="K71" s="177">
        <v>39858</v>
      </c>
      <c r="L71" s="181">
        <f>(SUMIF('2021 CNESER'!$C$4:$C$76,'2021 CNESER'!$C70,'2021 CNESER'!$K$4:$K$76)-SUMIF('2020 CNESER'!$C$4:$C$76,'2021 CNESER'!$C70,'2020 CNESER'!$L$4:$L$76))/SUMIF('2020 CNESER'!$C$4:$C$76,'2021 CNESER'!$C70,'2020 CNESER'!$L$4:$L$76)</f>
        <v>1.9119470855725507E-2</v>
      </c>
      <c r="M71" s="15">
        <f t="shared" si="19"/>
        <v>4521.9995233077425</v>
      </c>
      <c r="N71" s="216">
        <f>J71/K71*100</f>
        <v>5.8883381184141346</v>
      </c>
      <c r="O71" s="199">
        <f t="shared" si="16"/>
        <v>35.409199105410153</v>
      </c>
      <c r="P71" s="200">
        <f t="shared" si="17"/>
        <v>7153217.1228609383</v>
      </c>
      <c r="Q71" s="217">
        <f t="shared" si="20"/>
        <v>2124551.9463246092</v>
      </c>
      <c r="R71" s="197">
        <f t="shared" si="21"/>
        <v>5028665.1765363291</v>
      </c>
      <c r="S71" s="138">
        <f t="shared" si="13"/>
        <v>70726.067537745708</v>
      </c>
      <c r="T71" s="96">
        <f t="shared" si="14"/>
        <v>0.92096205959661404</v>
      </c>
      <c r="U71" s="93"/>
      <c r="V71" s="93"/>
      <c r="W71" s="93"/>
      <c r="X71" s="93"/>
      <c r="Y71" s="93"/>
      <c r="Z71" s="93"/>
      <c r="AA71" s="93"/>
      <c r="AB71" s="93"/>
      <c r="AC71" s="93"/>
      <c r="AD71" s="93"/>
      <c r="AE71" s="93"/>
      <c r="AF71" s="93"/>
      <c r="AG71" s="93"/>
      <c r="AH71" s="93"/>
      <c r="AI71" s="93"/>
      <c r="AJ71" s="93"/>
      <c r="AK71" s="93"/>
      <c r="AL71" s="93"/>
      <c r="AM71" s="93"/>
      <c r="AN71" s="93"/>
      <c r="AO71" s="93"/>
      <c r="AP71" s="93"/>
      <c r="AQ71" s="93"/>
      <c r="AR71" s="93"/>
      <c r="AS71" s="93"/>
      <c r="AT71" s="93"/>
      <c r="AU71" s="93"/>
      <c r="AV71" s="93"/>
      <c r="AW71" s="93"/>
      <c r="AX71" s="93"/>
      <c r="AY71" s="93"/>
      <c r="AZ71" s="93"/>
      <c r="BA71" s="93"/>
      <c r="BB71" s="93"/>
      <c r="BC71" s="93"/>
      <c r="BD71" s="93"/>
      <c r="BE71" s="93"/>
      <c r="BF71" s="93"/>
      <c r="BG71" s="93"/>
      <c r="BH71" s="93"/>
      <c r="BI71" s="93"/>
      <c r="BJ71" s="93"/>
      <c r="BK71" s="93"/>
      <c r="BL71" s="93"/>
      <c r="BM71" s="93"/>
      <c r="BN71" s="93"/>
      <c r="BO71" s="93"/>
      <c r="BP71" s="93"/>
      <c r="BQ71" s="93"/>
      <c r="BR71" s="93"/>
      <c r="BS71" s="93"/>
      <c r="BT71" s="93"/>
      <c r="BU71" s="93"/>
      <c r="BV71" s="93"/>
      <c r="BW71" s="93"/>
      <c r="BX71" s="93"/>
      <c r="BY71" s="93"/>
      <c r="BZ71" s="93"/>
      <c r="CA71" s="93"/>
      <c r="CB71" s="93"/>
      <c r="CC71" s="93"/>
      <c r="CD71" s="93"/>
      <c r="CE71" s="93"/>
      <c r="CF71" s="93"/>
      <c r="CG71" s="93"/>
      <c r="CH71" s="93"/>
    </row>
    <row r="72" spans="1:86">
      <c r="A72" s="93"/>
      <c r="B72" s="158" t="s">
        <v>61</v>
      </c>
      <c r="C72" s="159" t="s">
        <v>381</v>
      </c>
      <c r="D72" s="160">
        <f>G72-'2019 CNESER'!F73</f>
        <v>171410692</v>
      </c>
      <c r="E72" s="161">
        <f>SUM(E4:E71)</f>
        <v>10238809788</v>
      </c>
      <c r="F72" s="162">
        <f>(E72-'2020 CNESER'!E72)/'2020 CNESER'!E72</f>
        <v>1.3396204927521721E-2</v>
      </c>
      <c r="G72" s="161">
        <f>SUM(G4:G71)</f>
        <v>11229524421</v>
      </c>
      <c r="H72" s="162">
        <f>(G72-'2020 CNESER'!G72)/'2020 CNESER'!G72</f>
        <v>1.4261726530959666E-2</v>
      </c>
      <c r="I72" s="161">
        <v>143587</v>
      </c>
      <c r="J72" s="161">
        <f>SUM(J4:J71)</f>
        <v>144520.37523280366</v>
      </c>
      <c r="K72" s="52">
        <f>SUM(K4:K71)</f>
        <v>1758803</v>
      </c>
      <c r="L72" s="185">
        <f>(K72-'2020 CNESER'!L72)/'2020 CNESER'!L72</f>
        <v>1.528348862541541E-2</v>
      </c>
      <c r="M72" s="269">
        <f t="shared" si="19"/>
        <v>6384.7539610746626</v>
      </c>
      <c r="N72" s="270">
        <f>I72/K72*100</f>
        <v>8.1639046556095263</v>
      </c>
      <c r="O72" s="202">
        <f>SUMIF(O4:O71,"&gt;0",O4:O71)</f>
        <v>7435.3509288141231</v>
      </c>
      <c r="P72" s="201">
        <f>SUMIF(P4:P71,"&gt;0",P4:P71)</f>
        <v>581901438.78616548</v>
      </c>
      <c r="Q72" s="201">
        <f>SUMIF(Q4:Q71,"&gt;0",Q4:Q71)</f>
        <v>446121055.72884721</v>
      </c>
      <c r="R72" s="201">
        <f>SUMIF(R4:R71,"&gt;0",R4:R71)</f>
        <v>187594750.23134768</v>
      </c>
      <c r="S72" s="203">
        <f>R72+Q72</f>
        <v>633715805.96019483</v>
      </c>
      <c r="T72" s="93"/>
      <c r="U72" s="93" t="s">
        <v>295</v>
      </c>
      <c r="V72" s="93" t="s">
        <v>296</v>
      </c>
      <c r="W72" s="99">
        <f>D72/35000</f>
        <v>4897.448342857143</v>
      </c>
      <c r="X72" s="93" t="s">
        <v>297</v>
      </c>
      <c r="Y72" s="93"/>
      <c r="Z72" s="93"/>
      <c r="AA72" s="93"/>
      <c r="AB72" s="93"/>
      <c r="AC72" s="93"/>
      <c r="AD72" s="93"/>
      <c r="AE72" s="93"/>
      <c r="AF72" s="93"/>
      <c r="AG72" s="93"/>
      <c r="AH72" s="93"/>
      <c r="AI72" s="93"/>
      <c r="AJ72" s="93"/>
      <c r="AK72" s="93"/>
      <c r="AL72" s="93"/>
      <c r="AM72" s="93"/>
      <c r="AN72" s="93"/>
      <c r="AO72" s="93"/>
      <c r="AP72" s="93"/>
      <c r="AQ72" s="93"/>
      <c r="AR72" s="93"/>
      <c r="AS72" s="93"/>
      <c r="AT72" s="93"/>
      <c r="AU72" s="93"/>
      <c r="AV72" s="93"/>
      <c r="AW72" s="93"/>
      <c r="AX72" s="93"/>
      <c r="AY72" s="93"/>
      <c r="AZ72" s="93"/>
      <c r="BA72" s="93"/>
      <c r="BB72" s="93"/>
      <c r="BC72" s="93"/>
      <c r="BD72" s="93"/>
      <c r="BE72" s="93"/>
      <c r="BF72" s="93"/>
      <c r="BG72" s="93"/>
      <c r="BH72" s="93"/>
      <c r="BI72" s="93"/>
      <c r="BJ72" s="93"/>
      <c r="BK72" s="93"/>
      <c r="BL72" s="93"/>
      <c r="BM72" s="93"/>
      <c r="BN72" s="93"/>
      <c r="BO72" s="93"/>
      <c r="BP72" s="93"/>
      <c r="BQ72" s="93"/>
      <c r="BR72" s="93"/>
      <c r="BS72" s="93"/>
      <c r="BT72" s="93"/>
      <c r="BU72" s="93"/>
      <c r="BV72" s="93"/>
      <c r="BW72" s="93"/>
      <c r="BX72" s="93"/>
      <c r="BY72" s="93"/>
      <c r="BZ72" s="93"/>
      <c r="CA72" s="93"/>
      <c r="CB72" s="93"/>
      <c r="CC72" s="93"/>
      <c r="CD72" s="93"/>
      <c r="CE72" s="93"/>
      <c r="CF72" s="93"/>
      <c r="CG72" s="93"/>
      <c r="CH72" s="93"/>
    </row>
    <row r="73" spans="1:86">
      <c r="A73" s="93"/>
      <c r="B73" s="244"/>
      <c r="C73" s="245" t="s">
        <v>382</v>
      </c>
      <c r="D73" s="245"/>
      <c r="E73" s="246">
        <f>SUMIF(A4:A71,"UTALLSHS",E4:E71)+SUMIF(A4:A71,"UTDEG",E4:E71)</f>
        <v>1264522204</v>
      </c>
      <c r="F73" s="247">
        <f>(E73-'2020 CNESER'!E73)/'2020 CNESER'!E73</f>
        <v>1.1593892011973857E-2</v>
      </c>
      <c r="G73" s="246">
        <f>SUMIF(A4:A71,"UTALLSHS",G4:G71)+SUMIF(A4:A71,"UTDEG",G4:G71)</f>
        <v>1369024895</v>
      </c>
      <c r="H73" s="247">
        <f>(G73-'2020 CNESER'!G73)/'2020 CNESER'!G73</f>
        <v>1.1158655203888193E-2</v>
      </c>
      <c r="I73" s="246">
        <f>SUMIF(A4:A71,"UTALLSHS",I4:I71)+SUMIF(A4:A71,"UTDEG",I4:I71)</f>
        <v>17405</v>
      </c>
      <c r="J73" s="246">
        <f>SUMIF(A4:A71,"UTALLSHS",J4:J71)+SUMIF(A4:A71,"UTDEG",J4:J71)</f>
        <v>17523.371077656298</v>
      </c>
      <c r="K73" s="246">
        <f>SUMIF(A4:A71,"UTALLSHS",K4:K71)+SUMIF(A4:A71,"UTDEG",K4:K71)</f>
        <v>291191</v>
      </c>
      <c r="L73" s="248">
        <f>(K73-'2020 CNESER'!L73)/'2020 CNESER'!L73</f>
        <v>2.4894586052274056E-2</v>
      </c>
      <c r="M73" s="271">
        <f t="shared" si="19"/>
        <v>4701.4670611385654</v>
      </c>
      <c r="N73" s="272">
        <f>I73/K73*100</f>
        <v>5.9771764924053281</v>
      </c>
      <c r="O73" s="249">
        <f>(M73-'2020 CNESER'!N73)/'2020 CNESER'!N73</f>
        <v>-1.3402286474450496E-2</v>
      </c>
      <c r="P73" s="268"/>
      <c r="Q73" s="268"/>
      <c r="R73" s="268"/>
      <c r="S73" s="103">
        <f>MIN(S4:S71)</f>
        <v>64642.499220779559</v>
      </c>
      <c r="T73" s="164">
        <f>MIN(T4:T71)</f>
        <v>0.86039636343075732</v>
      </c>
      <c r="U73" s="93" t="s">
        <v>338</v>
      </c>
      <c r="V73" s="93"/>
      <c r="W73" s="93"/>
      <c r="X73" s="93"/>
      <c r="Y73" s="93"/>
      <c r="Z73" s="93"/>
      <c r="AA73" s="93"/>
      <c r="AB73" s="93"/>
      <c r="AC73" s="93"/>
      <c r="AD73" s="93"/>
      <c r="AE73" s="93"/>
      <c r="AF73" s="93"/>
      <c r="AG73" s="93"/>
      <c r="AH73" s="93"/>
      <c r="AI73" s="93"/>
      <c r="AJ73" s="93"/>
      <c r="AK73" s="93"/>
      <c r="AL73" s="93"/>
      <c r="AM73" s="93"/>
      <c r="AN73" s="93"/>
      <c r="AO73" s="93"/>
      <c r="AP73" s="93"/>
      <c r="AQ73" s="93"/>
      <c r="AR73" s="93"/>
      <c r="AS73" s="93"/>
      <c r="AT73" s="93"/>
      <c r="AU73" s="93"/>
      <c r="AV73" s="93"/>
      <c r="AW73" s="93"/>
      <c r="AX73" s="93"/>
      <c r="AY73" s="93"/>
      <c r="AZ73" s="93"/>
      <c r="BA73" s="93"/>
      <c r="BB73" s="93"/>
      <c r="BC73" s="93"/>
      <c r="BD73" s="93"/>
      <c r="BE73" s="93"/>
      <c r="BF73" s="93"/>
      <c r="BG73" s="93"/>
      <c r="BH73" s="93"/>
      <c r="BI73" s="93"/>
      <c r="BJ73" s="93"/>
      <c r="BK73" s="93"/>
      <c r="BL73" s="93"/>
      <c r="BM73" s="93"/>
      <c r="BN73" s="93"/>
      <c r="BO73" s="93"/>
      <c r="BP73" s="93"/>
      <c r="BQ73" s="93"/>
      <c r="BR73" s="93"/>
      <c r="BS73" s="93"/>
      <c r="BT73" s="93"/>
      <c r="BU73" s="93"/>
      <c r="BV73" s="93"/>
      <c r="BW73" s="93"/>
      <c r="BX73" s="93"/>
      <c r="BY73" s="93"/>
      <c r="BZ73" s="93"/>
      <c r="CA73" s="93"/>
      <c r="CB73" s="93"/>
      <c r="CC73" s="93"/>
      <c r="CD73" s="93"/>
      <c r="CE73" s="93"/>
      <c r="CF73" s="93"/>
      <c r="CG73" s="93"/>
      <c r="CH73" s="93"/>
    </row>
    <row r="74" spans="1:86">
      <c r="A74" s="93"/>
      <c r="B74" s="250"/>
      <c r="C74" s="251" t="s">
        <v>383</v>
      </c>
      <c r="D74" s="251"/>
      <c r="E74" s="252">
        <f>SUMIF($A4:$A71,"UPavS",E4:E71)</f>
        <v>6425336031</v>
      </c>
      <c r="F74" s="253">
        <f>(E74-'2020 CNESER'!E74)/'2020 CNESER'!E74</f>
        <v>1.5308322289293515E-2</v>
      </c>
      <c r="G74" s="252">
        <f>SUMIF($A4:$A71,"UPavS",G4:G71)</f>
        <v>7074320333</v>
      </c>
      <c r="H74" s="253">
        <f>(G74-'2020 CNESER'!G74)/'2020 CNESER'!G74</f>
        <v>1.6135650402848731E-2</v>
      </c>
      <c r="I74" s="252">
        <f>SUMIF($A4:$A71,"UPavS",I4:I71)</f>
        <v>90624</v>
      </c>
      <c r="J74" s="252">
        <f>SUMIF($A4:$A71,"UPavS",J4:J71)</f>
        <v>91199.115201832465</v>
      </c>
      <c r="K74" s="252">
        <f>SUMIF($A4:$A71,"UPavS",K4:K71)</f>
        <v>1084255</v>
      </c>
      <c r="L74" s="254">
        <f>(K74-'2020 CNESER'!L74)/'2020 CNESER'!L74</f>
        <v>1.9840833138160634E-2</v>
      </c>
      <c r="M74" s="273">
        <f t="shared" si="19"/>
        <v>6524.5909246441106</v>
      </c>
      <c r="N74" s="274">
        <f>I74/K74*100</f>
        <v>8.3581814241114873</v>
      </c>
      <c r="O74" s="255">
        <f>(M74-'2020 CNESER'!N74)/'2020 CNESER'!N74</f>
        <v>-3.6330990238061969E-3</v>
      </c>
      <c r="P74" s="268"/>
      <c r="Q74" s="268"/>
      <c r="R74" s="268"/>
      <c r="S74" s="103">
        <f>MAX(S4:S71)</f>
        <v>114115.54033038174</v>
      </c>
      <c r="T74" s="164">
        <f>MAX(T4:T71)</f>
        <v>0.97982893130001392</v>
      </c>
      <c r="U74" s="93" t="s">
        <v>339</v>
      </c>
      <c r="V74" s="93"/>
      <c r="W74" s="93"/>
      <c r="X74" s="93"/>
      <c r="Y74" s="93"/>
      <c r="Z74" s="93"/>
      <c r="AA74" s="93"/>
      <c r="AB74" s="93"/>
      <c r="AC74" s="93"/>
      <c r="AD74" s="93"/>
      <c r="AE74" s="93"/>
      <c r="AF74" s="93"/>
      <c r="AG74" s="93"/>
      <c r="AH74" s="93"/>
      <c r="AI74" s="93"/>
      <c r="AJ74" s="93"/>
      <c r="AK74" s="93"/>
      <c r="AL74" s="93"/>
      <c r="AM74" s="93"/>
      <c r="AN74" s="93"/>
      <c r="AO74" s="93"/>
      <c r="AP74" s="93"/>
      <c r="AQ74" s="93"/>
      <c r="AR74" s="93"/>
      <c r="AS74" s="93"/>
      <c r="AT74" s="93"/>
      <c r="AU74" s="93"/>
      <c r="AV74" s="93"/>
      <c r="AW74" s="93"/>
      <c r="AX74" s="93"/>
      <c r="AY74" s="93"/>
      <c r="AZ74" s="93"/>
      <c r="BA74" s="93"/>
      <c r="BB74" s="93"/>
      <c r="BC74" s="93"/>
      <c r="BD74" s="93"/>
      <c r="BE74" s="93"/>
      <c r="BF74" s="93"/>
      <c r="BG74" s="93"/>
      <c r="BH74" s="93"/>
      <c r="BI74" s="93"/>
      <c r="BJ74" s="93"/>
      <c r="BK74" s="93"/>
      <c r="BL74" s="93"/>
      <c r="BM74" s="93"/>
      <c r="BN74" s="93"/>
      <c r="BO74" s="93"/>
      <c r="BP74" s="93"/>
      <c r="BQ74" s="93"/>
      <c r="BR74" s="93"/>
      <c r="BS74" s="93"/>
      <c r="BT74" s="93"/>
      <c r="BU74" s="93"/>
      <c r="BV74" s="93"/>
      <c r="BW74" s="93"/>
      <c r="BX74" s="93"/>
      <c r="BY74" s="93"/>
      <c r="BZ74" s="93"/>
      <c r="CA74" s="93"/>
      <c r="CB74" s="93"/>
      <c r="CC74" s="93"/>
      <c r="CD74" s="93"/>
      <c r="CE74" s="93"/>
      <c r="CF74" s="93"/>
      <c r="CG74" s="93"/>
      <c r="CH74" s="93"/>
    </row>
    <row r="75" spans="1:86">
      <c r="A75" s="93"/>
      <c r="B75" s="256"/>
      <c r="C75" s="257" t="s">
        <v>384</v>
      </c>
      <c r="D75" s="257"/>
      <c r="E75" s="258">
        <f>SUMIF($A4:$A71,"UPhS",E4:E71)</f>
        <v>1350496583</v>
      </c>
      <c r="F75" s="259">
        <f>(E75-'2020 CNESER'!E75)/'2020 CNESER'!E75</f>
        <v>1.3689389295776557E-2</v>
      </c>
      <c r="G75" s="258">
        <f>SUMIF($A4:$A71,"UPhS",G4:G71)</f>
        <v>1476514597</v>
      </c>
      <c r="H75" s="259">
        <f>(G75-'2020 CNESER'!G75)/'2020 CNESER'!G75</f>
        <v>1.6380854132528384E-2</v>
      </c>
      <c r="I75" s="258">
        <f>SUMIF($A4:$A71,"UPhS",I4:I71)</f>
        <v>18054</v>
      </c>
      <c r="J75" s="258">
        <f>SUMIF($A4:$A71,"UPhS",J4:J71)</f>
        <v>18225.414067667003</v>
      </c>
      <c r="K75" s="258">
        <f>SUMIF($A4:$A71,"UPhS",K4:K71)</f>
        <v>222147</v>
      </c>
      <c r="L75" s="260">
        <f>(K75-'2020 CNESER'!L75)/'2020 CNESER'!L75</f>
        <v>1.3444343065693431E-2</v>
      </c>
      <c r="M75" s="275">
        <f t="shared" si="19"/>
        <v>6646.5655489383153</v>
      </c>
      <c r="N75" s="276">
        <f>I75/K75*100</f>
        <v>8.1270510067657895</v>
      </c>
      <c r="O75" s="261">
        <f>(M75-'2020 CNESER'!N75)/'2020 CNESER'!N75</f>
        <v>2.8975553388081864E-3</v>
      </c>
      <c r="P75" s="268"/>
      <c r="Q75" s="268"/>
      <c r="R75" s="268"/>
      <c r="S75" s="93"/>
      <c r="T75" s="93"/>
      <c r="U75" s="93"/>
      <c r="V75" s="93"/>
      <c r="W75" s="93"/>
      <c r="X75" s="93"/>
      <c r="Y75" s="93"/>
      <c r="Z75" s="93"/>
      <c r="AA75" s="93"/>
      <c r="AB75" s="93"/>
      <c r="AC75" s="93"/>
      <c r="AD75" s="93"/>
      <c r="AE75" s="93"/>
      <c r="AF75" s="93"/>
      <c r="AG75" s="93"/>
      <c r="AH75" s="93"/>
      <c r="AI75" s="93"/>
      <c r="AJ75" s="93"/>
      <c r="AK75" s="93"/>
      <c r="AL75" s="93"/>
      <c r="AM75" s="93"/>
      <c r="AN75" s="93"/>
      <c r="AO75" s="93"/>
      <c r="AP75" s="93"/>
      <c r="AQ75" s="93"/>
      <c r="AR75" s="93"/>
      <c r="AS75" s="93"/>
      <c r="AT75" s="93"/>
      <c r="AU75" s="93"/>
      <c r="AV75" s="93"/>
      <c r="AW75" s="93"/>
      <c r="AX75" s="93"/>
      <c r="AY75" s="93"/>
      <c r="AZ75" s="93"/>
      <c r="BA75" s="93"/>
      <c r="BB75" s="93"/>
      <c r="BC75" s="93"/>
      <c r="BD75" s="93"/>
      <c r="BE75" s="93"/>
      <c r="BF75" s="93"/>
      <c r="BG75" s="93"/>
      <c r="BH75" s="93"/>
      <c r="BI75" s="93"/>
      <c r="BJ75" s="93"/>
      <c r="BK75" s="93"/>
      <c r="BL75" s="93"/>
      <c r="BM75" s="93"/>
      <c r="BN75" s="93"/>
      <c r="BO75" s="93"/>
      <c r="BP75" s="93"/>
      <c r="BQ75" s="93"/>
      <c r="BR75" s="93"/>
      <c r="BS75" s="93"/>
      <c r="BT75" s="93"/>
      <c r="BU75" s="93"/>
      <c r="BV75" s="93"/>
      <c r="BW75" s="93"/>
      <c r="BX75" s="93"/>
      <c r="BY75" s="93"/>
      <c r="BZ75" s="93"/>
      <c r="CA75" s="93"/>
      <c r="CB75" s="93"/>
      <c r="CC75" s="93"/>
      <c r="CD75" s="93"/>
      <c r="CE75" s="93"/>
      <c r="CF75" s="93"/>
      <c r="CG75" s="93"/>
      <c r="CH75" s="93"/>
    </row>
    <row r="76" spans="1:86">
      <c r="A76" s="93"/>
      <c r="B76" s="262"/>
      <c r="C76" s="263" t="s">
        <v>385</v>
      </c>
      <c r="D76" s="263"/>
      <c r="E76" s="264">
        <f>SUMIF($A4:$A71,"USTS",E4:E71)</f>
        <v>1198454970</v>
      </c>
      <c r="F76" s="265">
        <f>(E76-'2020 CNESER'!E76)/'2020 CNESER'!E76</f>
        <v>4.8120896584362034E-3</v>
      </c>
      <c r="G76" s="264">
        <f>SUMIF($A4:$A71,"USTS",G4:G71)</f>
        <v>1309664596</v>
      </c>
      <c r="H76" s="265">
        <f>(G76-'2020 CNESER'!G76)/'2020 CNESER'!G76</f>
        <v>5.1110152448403884E-3</v>
      </c>
      <c r="I76" s="264">
        <f>SUMIF($A4:$A71,"USTS",I4:I71)</f>
        <v>17594</v>
      </c>
      <c r="J76" s="264">
        <f>SUMIF($A4:$A71,"USTS",J4:J71)</f>
        <v>17572.474885647851</v>
      </c>
      <c r="K76" s="264">
        <f>SUMIF($A4:$A71,"USTS",K4:K71)</f>
        <v>161210</v>
      </c>
      <c r="L76" s="266">
        <f>(K76-'2020 CNESER'!L76)/'2020 CNESER'!L76</f>
        <v>-2.7965365877188751E-2</v>
      </c>
      <c r="M76" s="277">
        <f t="shared" si="19"/>
        <v>8123.9662303827308</v>
      </c>
      <c r="N76" s="278">
        <f>I76/K76*100</f>
        <v>10.913715030084981</v>
      </c>
      <c r="O76" s="267">
        <f>(M76-'2020 CNESER'!N76)/'2020 CNESER'!N76</f>
        <v>3.4027986206353764E-2</v>
      </c>
      <c r="P76" s="268"/>
      <c r="Q76" s="268"/>
      <c r="R76" s="268"/>
      <c r="S76" s="93"/>
      <c r="T76" s="93"/>
      <c r="U76" s="93"/>
      <c r="V76" s="93"/>
      <c r="W76" s="93"/>
      <c r="X76" s="93"/>
      <c r="Y76" s="93"/>
      <c r="Z76" s="93"/>
      <c r="AA76" s="93"/>
      <c r="AB76" s="93"/>
      <c r="AC76" s="93"/>
      <c r="AD76" s="93"/>
      <c r="AE76" s="93"/>
      <c r="AF76" s="93"/>
      <c r="AG76" s="93"/>
      <c r="AH76" s="93"/>
      <c r="AI76" s="93"/>
      <c r="AJ76" s="93"/>
      <c r="AK76" s="93"/>
      <c r="AL76" s="93"/>
      <c r="AM76" s="93"/>
      <c r="AN76" s="93"/>
      <c r="AO76" s="93"/>
      <c r="AP76" s="93"/>
      <c r="AQ76" s="93"/>
      <c r="AR76" s="93"/>
      <c r="AS76" s="93"/>
      <c r="AT76" s="93"/>
      <c r="AU76" s="93"/>
      <c r="AV76" s="93"/>
      <c r="AW76" s="93"/>
      <c r="AX76" s="93"/>
      <c r="AY76" s="93"/>
      <c r="AZ76" s="93"/>
      <c r="BA76" s="93"/>
      <c r="BB76" s="93"/>
      <c r="BC76" s="93"/>
      <c r="BD76" s="93"/>
      <c r="BE76" s="93"/>
      <c r="BF76" s="93"/>
      <c r="BG76" s="93"/>
      <c r="BH76" s="93"/>
      <c r="BI76" s="93"/>
      <c r="BJ76" s="93"/>
      <c r="BK76" s="93"/>
      <c r="BL76" s="93"/>
      <c r="BM76" s="93"/>
      <c r="BN76" s="93"/>
      <c r="BO76" s="93"/>
      <c r="BP76" s="93"/>
      <c r="BQ76" s="93"/>
      <c r="BR76" s="93"/>
      <c r="BS76" s="93"/>
      <c r="BT76" s="93"/>
      <c r="BU76" s="93"/>
      <c r="BV76" s="93"/>
      <c r="BW76" s="93"/>
      <c r="BX76" s="93"/>
      <c r="BY76" s="93"/>
      <c r="BZ76" s="93"/>
      <c r="CA76" s="93"/>
      <c r="CB76" s="93"/>
      <c r="CC76" s="93"/>
      <c r="CD76" s="93"/>
      <c r="CE76" s="93"/>
      <c r="CF76" s="93"/>
      <c r="CG76" s="93"/>
      <c r="CH76" s="93"/>
    </row>
    <row r="77" spans="1:86">
      <c r="A77" s="93"/>
      <c r="B77" s="93"/>
      <c r="C77" s="93"/>
      <c r="D77" s="93"/>
      <c r="E77" s="93"/>
      <c r="F77" s="93"/>
      <c r="G77" s="93"/>
      <c r="H77" s="93"/>
      <c r="I77" s="93"/>
      <c r="J77" s="165">
        <f>J72-I72</f>
        <v>933.3752328036644</v>
      </c>
      <c r="K77" s="165">
        <f>K72-'2020 CNESER'!L72</f>
        <v>26476</v>
      </c>
      <c r="L77" s="93"/>
      <c r="M77" s="93"/>
      <c r="N77" s="51">
        <f>100/N72</f>
        <v>12.249040651312443</v>
      </c>
      <c r="O77" s="93"/>
      <c r="P77" s="93"/>
      <c r="Q77" s="93"/>
      <c r="R77" s="93"/>
      <c r="S77" s="93"/>
      <c r="T77" s="93"/>
      <c r="U77" s="93"/>
      <c r="V77" s="93"/>
      <c r="W77" s="93"/>
      <c r="X77" s="93"/>
      <c r="Y77" s="93"/>
      <c r="Z77" s="93"/>
      <c r="AA77" s="93"/>
      <c r="AB77" s="93"/>
      <c r="AC77" s="93"/>
      <c r="AD77" s="93"/>
      <c r="AE77" s="93"/>
      <c r="AF77" s="93"/>
      <c r="AG77" s="93"/>
      <c r="AH77" s="93"/>
      <c r="AI77" s="93"/>
      <c r="AJ77" s="93"/>
      <c r="AK77" s="93"/>
      <c r="AL77" s="93"/>
      <c r="AM77" s="93"/>
      <c r="AN77" s="93"/>
      <c r="AO77" s="93"/>
      <c r="AP77" s="93"/>
      <c r="AQ77" s="93"/>
      <c r="AR77" s="93"/>
      <c r="AS77" s="93"/>
      <c r="AT77" s="93"/>
      <c r="AU77" s="93"/>
      <c r="AV77" s="93"/>
      <c r="AW77" s="93"/>
      <c r="AX77" s="93"/>
      <c r="AY77" s="93"/>
      <c r="AZ77" s="93"/>
      <c r="BA77" s="93"/>
      <c r="BB77" s="93"/>
      <c r="BC77" s="93"/>
      <c r="BD77" s="93"/>
      <c r="BE77" s="93"/>
      <c r="BF77" s="93"/>
      <c r="BG77" s="93"/>
      <c r="BH77" s="93"/>
      <c r="BI77" s="93"/>
      <c r="BJ77" s="93"/>
      <c r="BK77" s="93"/>
      <c r="BL77" s="93"/>
      <c r="BM77" s="93"/>
      <c r="BN77" s="93"/>
      <c r="BO77" s="93"/>
      <c r="BP77" s="93"/>
      <c r="BQ77" s="93"/>
      <c r="BR77" s="93"/>
      <c r="BS77" s="93"/>
      <c r="BT77" s="93"/>
      <c r="BU77" s="93"/>
      <c r="BV77" s="93"/>
      <c r="BW77" s="93"/>
      <c r="BX77" s="93"/>
      <c r="BY77" s="93"/>
      <c r="BZ77" s="93"/>
      <c r="CA77" s="93"/>
      <c r="CB77" s="93"/>
      <c r="CC77" s="93"/>
      <c r="CD77" s="93"/>
      <c r="CE77" s="93"/>
      <c r="CF77" s="93"/>
      <c r="CG77" s="93"/>
      <c r="CH77" s="93"/>
    </row>
    <row r="78" spans="1:86">
      <c r="A78" s="93"/>
      <c r="B78" s="93"/>
      <c r="C78" s="93"/>
      <c r="D78" s="93"/>
      <c r="E78" s="93"/>
      <c r="F78" s="93"/>
      <c r="G78" s="93"/>
      <c r="H78" s="93"/>
      <c r="I78" s="93"/>
      <c r="J78" s="93"/>
      <c r="K78" s="93"/>
      <c r="L78" s="93"/>
      <c r="M78" s="93"/>
      <c r="N78" s="93"/>
      <c r="O78" s="93"/>
      <c r="P78" s="93"/>
      <c r="Q78" s="93"/>
      <c r="R78" s="93"/>
      <c r="S78" s="93"/>
      <c r="T78" s="93"/>
      <c r="U78" s="93"/>
      <c r="V78" s="93"/>
      <c r="W78" s="93"/>
      <c r="X78" s="93"/>
      <c r="Y78" s="93"/>
      <c r="Z78" s="93"/>
      <c r="AA78" s="93"/>
      <c r="AB78" s="93"/>
      <c r="AC78" s="93"/>
      <c r="AD78" s="93"/>
      <c r="AE78" s="93"/>
      <c r="AF78" s="93"/>
      <c r="AG78" s="93"/>
      <c r="AH78" s="93"/>
      <c r="AI78" s="93"/>
      <c r="AJ78" s="93"/>
      <c r="AK78" s="93"/>
      <c r="AL78" s="93"/>
      <c r="AM78" s="93"/>
      <c r="AN78" s="93"/>
      <c r="AO78" s="93"/>
      <c r="AP78" s="93"/>
      <c r="AQ78" s="93"/>
      <c r="AR78" s="93"/>
      <c r="AS78" s="93"/>
      <c r="AT78" s="93"/>
      <c r="AU78" s="93"/>
      <c r="AV78" s="93"/>
      <c r="AW78" s="93"/>
      <c r="AX78" s="93"/>
      <c r="AY78" s="93"/>
      <c r="AZ78" s="93"/>
      <c r="BA78" s="93"/>
      <c r="BB78" s="93"/>
      <c r="BC78" s="93"/>
      <c r="BD78" s="93"/>
      <c r="BE78" s="93"/>
      <c r="BF78" s="93"/>
      <c r="BG78" s="93"/>
      <c r="BH78" s="93"/>
      <c r="BI78" s="93"/>
      <c r="BJ78" s="93"/>
      <c r="BK78" s="93"/>
      <c r="BL78" s="93"/>
      <c r="BM78" s="93"/>
      <c r="BN78" s="93"/>
      <c r="BO78" s="93"/>
      <c r="BP78" s="93"/>
      <c r="BQ78" s="93"/>
      <c r="BR78" s="93"/>
      <c r="BS78" s="93"/>
      <c r="BT78" s="93"/>
      <c r="BU78" s="93"/>
      <c r="BV78" s="93"/>
      <c r="BW78" s="93"/>
      <c r="BX78" s="93"/>
      <c r="BY78" s="93"/>
      <c r="BZ78" s="93"/>
      <c r="CA78" s="93"/>
      <c r="CB78" s="93"/>
      <c r="CC78" s="93"/>
      <c r="CD78" s="93"/>
      <c r="CE78" s="93"/>
      <c r="CF78" s="93"/>
      <c r="CG78" s="93"/>
      <c r="CH78" s="93"/>
    </row>
    <row r="79" spans="1:86">
      <c r="A79" s="93"/>
      <c r="B79" s="107" t="s">
        <v>149</v>
      </c>
      <c r="C79" s="93"/>
      <c r="D79" s="163" t="s">
        <v>241</v>
      </c>
      <c r="E79" s="163"/>
      <c r="F79" s="163"/>
      <c r="G79" s="166">
        <f>AVERAGE(G4:G71)</f>
        <v>165140065.0147059</v>
      </c>
      <c r="H79" s="165"/>
      <c r="I79" s="166">
        <f>AVERAGE(I4:I71)</f>
        <v>2112.8970588235293</v>
      </c>
      <c r="J79" s="93"/>
      <c r="K79" s="166">
        <f>AVERAGE(K4:K71)</f>
        <v>25864.75</v>
      </c>
      <c r="L79" s="93"/>
      <c r="M79" s="93"/>
      <c r="N79" s="93"/>
      <c r="O79" s="93"/>
      <c r="P79" s="93"/>
      <c r="Q79" s="93"/>
      <c r="R79" s="93"/>
      <c r="S79" s="93"/>
      <c r="T79" s="93"/>
      <c r="U79" s="93"/>
      <c r="V79" s="93"/>
      <c r="W79" s="93"/>
      <c r="X79" s="93"/>
      <c r="Y79" s="93"/>
      <c r="Z79" s="93"/>
      <c r="AA79" s="93"/>
      <c r="AB79" s="93"/>
      <c r="AC79" s="93"/>
      <c r="AD79" s="93"/>
      <c r="AE79" s="93"/>
      <c r="AF79" s="93"/>
      <c r="AG79" s="93"/>
      <c r="AH79" s="93"/>
      <c r="AI79" s="93"/>
      <c r="AJ79" s="93"/>
      <c r="AK79" s="93"/>
      <c r="AL79" s="93"/>
      <c r="AM79" s="93"/>
      <c r="AN79" s="93"/>
      <c r="AO79" s="93"/>
      <c r="AP79" s="93"/>
      <c r="AQ79" s="93"/>
      <c r="AR79" s="93"/>
      <c r="AS79" s="93"/>
      <c r="AT79" s="93"/>
      <c r="AU79" s="93"/>
      <c r="AV79" s="93"/>
      <c r="AW79" s="93"/>
      <c r="AX79" s="93"/>
      <c r="AY79" s="93"/>
      <c r="AZ79" s="93"/>
      <c r="BA79" s="93"/>
      <c r="BB79" s="93"/>
      <c r="BC79" s="93"/>
      <c r="BD79" s="93"/>
      <c r="BE79" s="93"/>
      <c r="BF79" s="93"/>
      <c r="BG79" s="93"/>
      <c r="BH79" s="93"/>
      <c r="BI79" s="93"/>
      <c r="BJ79" s="93"/>
      <c r="BK79" s="93"/>
      <c r="BL79" s="93"/>
      <c r="BM79" s="93"/>
      <c r="BN79" s="93"/>
      <c r="BO79" s="93"/>
      <c r="BP79" s="93"/>
      <c r="BQ79" s="93"/>
      <c r="BR79" s="93"/>
      <c r="BS79" s="93"/>
      <c r="BT79" s="93"/>
      <c r="BU79" s="93"/>
      <c r="BV79" s="93"/>
      <c r="BW79" s="93"/>
      <c r="BX79" s="93"/>
      <c r="BY79" s="93"/>
      <c r="BZ79" s="93"/>
      <c r="CA79" s="93"/>
      <c r="CB79" s="93"/>
      <c r="CC79" s="93"/>
      <c r="CD79" s="93"/>
      <c r="CE79" s="93"/>
      <c r="CF79" s="93"/>
      <c r="CG79" s="93"/>
      <c r="CH79" s="93"/>
    </row>
    <row r="80" spans="1:86">
      <c r="A80" s="93"/>
      <c r="B80" s="107" t="s">
        <v>258</v>
      </c>
      <c r="C80" s="107" t="s">
        <v>259</v>
      </c>
      <c r="D80" s="166" t="s">
        <v>245</v>
      </c>
      <c r="E80" s="166">
        <v>260418</v>
      </c>
      <c r="F80" s="166"/>
      <c r="G80" s="166">
        <v>1260418</v>
      </c>
      <c r="H80" s="165"/>
      <c r="I80" s="93"/>
      <c r="J80" s="93"/>
      <c r="K80" s="93"/>
      <c r="L80" s="93"/>
      <c r="M80" s="93"/>
      <c r="N80" s="93"/>
      <c r="O80" s="93"/>
      <c r="P80" s="93"/>
      <c r="Q80" s="93"/>
      <c r="R80" s="93"/>
      <c r="S80" s="93"/>
      <c r="T80" s="93"/>
      <c r="U80" s="93"/>
      <c r="V80" s="93"/>
      <c r="W80" s="93"/>
      <c r="X80" s="93"/>
      <c r="Y80" s="93"/>
      <c r="Z80" s="93"/>
      <c r="AA80" s="93"/>
      <c r="AB80" s="93"/>
      <c r="AC80" s="93"/>
      <c r="AD80" s="93"/>
      <c r="AE80" s="93"/>
      <c r="AF80" s="93"/>
      <c r="AG80" s="93"/>
      <c r="AH80" s="93"/>
      <c r="AI80" s="93"/>
      <c r="AJ80" s="93"/>
      <c r="AK80" s="93"/>
      <c r="AL80" s="93"/>
      <c r="AM80" s="93"/>
      <c r="AN80" s="93"/>
      <c r="AO80" s="93"/>
      <c r="AP80" s="93"/>
      <c r="AQ80" s="93"/>
      <c r="AR80" s="93"/>
      <c r="AS80" s="93"/>
      <c r="AT80" s="93"/>
      <c r="AU80" s="93"/>
      <c r="AV80" s="93"/>
      <c r="AW80" s="93"/>
      <c r="AX80" s="93"/>
      <c r="AY80" s="93"/>
      <c r="AZ80" s="93"/>
      <c r="BA80" s="93"/>
      <c r="BB80" s="93"/>
      <c r="BC80" s="93"/>
      <c r="BD80" s="93"/>
      <c r="BE80" s="93"/>
      <c r="BF80" s="93"/>
      <c r="BG80" s="93"/>
      <c r="BH80" s="93"/>
      <c r="BI80" s="93"/>
      <c r="BJ80" s="93"/>
      <c r="BK80" s="93"/>
      <c r="BL80" s="93"/>
      <c r="BM80" s="93"/>
      <c r="BN80" s="93"/>
      <c r="BO80" s="93"/>
      <c r="BP80" s="93"/>
      <c r="BQ80" s="93"/>
      <c r="BR80" s="93"/>
      <c r="BS80" s="93"/>
      <c r="BT80" s="93"/>
      <c r="BU80" s="93"/>
      <c r="BV80" s="93"/>
      <c r="BW80" s="93"/>
      <c r="BX80" s="93"/>
      <c r="BY80" s="93"/>
      <c r="BZ80" s="93"/>
      <c r="CA80" s="93"/>
      <c r="CB80" s="93"/>
      <c r="CC80" s="93"/>
      <c r="CD80" s="93"/>
      <c r="CE80" s="93"/>
      <c r="CF80" s="93"/>
      <c r="CG80" s="93"/>
      <c r="CH80" s="93"/>
    </row>
    <row r="81" spans="1:86">
      <c r="A81" s="93"/>
      <c r="B81" s="107" t="s">
        <v>258</v>
      </c>
      <c r="C81" s="107" t="s">
        <v>261</v>
      </c>
      <c r="D81" s="166" t="s">
        <v>14</v>
      </c>
      <c r="E81" s="166"/>
      <c r="F81" s="166"/>
      <c r="G81" s="166"/>
      <c r="H81" s="93"/>
      <c r="I81" s="93"/>
      <c r="J81" s="93"/>
      <c r="K81" s="93"/>
      <c r="L81" s="93"/>
      <c r="M81" s="93"/>
      <c r="N81" s="93"/>
      <c r="O81" s="93"/>
      <c r="P81" s="93"/>
      <c r="Q81" s="93"/>
      <c r="R81" s="93"/>
      <c r="S81" s="93"/>
      <c r="T81" s="93"/>
      <c r="U81" s="93"/>
      <c r="V81" s="93"/>
      <c r="W81" s="93"/>
      <c r="X81" s="93"/>
      <c r="Y81" s="93"/>
      <c r="Z81" s="93"/>
      <c r="AA81" s="93"/>
      <c r="AB81" s="93"/>
      <c r="AC81" s="93"/>
      <c r="AD81" s="93"/>
      <c r="AE81" s="93"/>
      <c r="AF81" s="93"/>
      <c r="AG81" s="93"/>
      <c r="AH81" s="93"/>
      <c r="AI81" s="93"/>
      <c r="AJ81" s="93"/>
      <c r="AK81" s="93"/>
      <c r="AL81" s="93"/>
      <c r="AM81" s="93"/>
      <c r="AN81" s="93"/>
      <c r="AO81" s="93"/>
      <c r="AP81" s="93"/>
      <c r="AQ81" s="93"/>
      <c r="AR81" s="93"/>
      <c r="AS81" s="93"/>
      <c r="AT81" s="93"/>
      <c r="AU81" s="93"/>
      <c r="AV81" s="93"/>
      <c r="AW81" s="93"/>
      <c r="AX81" s="93"/>
      <c r="AY81" s="93"/>
      <c r="AZ81" s="93"/>
      <c r="BA81" s="93"/>
      <c r="BB81" s="93"/>
      <c r="BC81" s="93"/>
      <c r="BD81" s="93"/>
      <c r="BE81" s="93"/>
      <c r="BF81" s="93"/>
      <c r="BG81" s="93"/>
      <c r="BH81" s="93"/>
      <c r="BI81" s="93"/>
      <c r="BJ81" s="93"/>
      <c r="BK81" s="93"/>
      <c r="BL81" s="93"/>
      <c r="BM81" s="93"/>
      <c r="BN81" s="93"/>
      <c r="BO81" s="93"/>
      <c r="BP81" s="93"/>
      <c r="BQ81" s="93"/>
      <c r="BR81" s="93"/>
      <c r="BS81" s="93"/>
      <c r="BT81" s="93"/>
      <c r="BU81" s="93"/>
      <c r="BV81" s="93"/>
      <c r="BW81" s="93"/>
      <c r="BX81" s="93"/>
      <c r="BY81" s="93"/>
      <c r="BZ81" s="93"/>
      <c r="CA81" s="93"/>
      <c r="CB81" s="93"/>
      <c r="CC81" s="93"/>
      <c r="CD81" s="93"/>
      <c r="CE81" s="93"/>
      <c r="CF81" s="93"/>
      <c r="CG81" s="93"/>
      <c r="CH81" s="93"/>
    </row>
    <row r="82" spans="1:86">
      <c r="A82" s="93"/>
      <c r="B82" s="107" t="s">
        <v>258</v>
      </c>
      <c r="C82" s="107" t="s">
        <v>265</v>
      </c>
      <c r="D82" s="166" t="s">
        <v>17</v>
      </c>
      <c r="E82" s="166">
        <v>646126</v>
      </c>
      <c r="F82" s="166"/>
      <c r="G82" s="166">
        <v>690765</v>
      </c>
      <c r="H82" s="93"/>
      <c r="I82" s="93"/>
      <c r="J82" s="93"/>
      <c r="K82" s="93"/>
      <c r="L82" s="93"/>
      <c r="M82" s="93"/>
      <c r="N82" s="93"/>
      <c r="O82" s="93"/>
      <c r="P82" s="93"/>
      <c r="Q82" s="93"/>
      <c r="R82" s="93"/>
      <c r="S82" s="93"/>
      <c r="T82" s="93"/>
      <c r="U82" s="93"/>
      <c r="V82" s="93"/>
      <c r="W82" s="93"/>
      <c r="X82" s="93"/>
      <c r="Y82" s="93"/>
      <c r="Z82" s="93"/>
      <c r="AA82" s="93"/>
      <c r="AB82" s="93"/>
      <c r="AC82" s="93"/>
      <c r="AD82" s="93"/>
      <c r="AE82" s="93"/>
      <c r="AF82" s="93"/>
      <c r="AG82" s="93"/>
      <c r="AH82" s="93"/>
      <c r="AI82" s="93"/>
      <c r="AJ82" s="93"/>
      <c r="AK82" s="93"/>
      <c r="AL82" s="93"/>
      <c r="AM82" s="93"/>
      <c r="AN82" s="93"/>
      <c r="AO82" s="93"/>
      <c r="AP82" s="93"/>
      <c r="AQ82" s="93"/>
      <c r="AR82" s="93"/>
      <c r="AS82" s="93"/>
      <c r="AT82" s="93"/>
      <c r="AU82" s="93"/>
      <c r="AV82" s="93"/>
      <c r="AW82" s="93"/>
      <c r="AX82" s="93"/>
      <c r="AY82" s="93"/>
      <c r="AZ82" s="93"/>
      <c r="BA82" s="93"/>
      <c r="BB82" s="93"/>
      <c r="BC82" s="93"/>
      <c r="BD82" s="93"/>
      <c r="BE82" s="93"/>
      <c r="BF82" s="93"/>
      <c r="BG82" s="93"/>
      <c r="BH82" s="93"/>
      <c r="BI82" s="93"/>
      <c r="BJ82" s="93"/>
      <c r="BK82" s="93"/>
      <c r="BL82" s="93"/>
      <c r="BM82" s="93"/>
      <c r="BN82" s="93"/>
      <c r="BO82" s="93"/>
      <c r="BP82" s="93"/>
      <c r="BQ82" s="93"/>
      <c r="BR82" s="93"/>
      <c r="BS82" s="93"/>
      <c r="BT82" s="93"/>
      <c r="BU82" s="93"/>
      <c r="BV82" s="93"/>
      <c r="BW82" s="93"/>
      <c r="BX82" s="93"/>
      <c r="BY82" s="93"/>
      <c r="BZ82" s="93"/>
      <c r="CA82" s="93"/>
      <c r="CB82" s="93"/>
      <c r="CC82" s="93"/>
      <c r="CD82" s="93"/>
      <c r="CE82" s="93"/>
      <c r="CF82" s="93"/>
      <c r="CG82" s="93"/>
      <c r="CH82" s="93"/>
    </row>
    <row r="83" spans="1:86">
      <c r="A83" s="93"/>
      <c r="B83" s="107" t="s">
        <v>258</v>
      </c>
      <c r="C83" s="107" t="s">
        <v>266</v>
      </c>
      <c r="D83" s="166" t="s">
        <v>252</v>
      </c>
      <c r="E83" s="166">
        <v>831980</v>
      </c>
      <c r="F83" s="166"/>
      <c r="G83" s="166">
        <v>861896</v>
      </c>
      <c r="H83" s="93"/>
      <c r="I83" s="93"/>
      <c r="J83" s="93"/>
      <c r="K83" s="93"/>
      <c r="L83" s="93"/>
      <c r="M83" s="93"/>
      <c r="N83" s="93"/>
      <c r="O83" s="93"/>
      <c r="P83" s="93"/>
      <c r="Q83" s="93"/>
      <c r="R83" s="93"/>
      <c r="S83" s="93"/>
      <c r="T83" s="93"/>
      <c r="U83" s="93"/>
      <c r="V83" s="93"/>
      <c r="W83" s="93"/>
      <c r="X83" s="93"/>
      <c r="Y83" s="93"/>
      <c r="Z83" s="93"/>
      <c r="AA83" s="93"/>
      <c r="AB83" s="93"/>
      <c r="AC83" s="93"/>
      <c r="AD83" s="93"/>
      <c r="AE83" s="93"/>
      <c r="AF83" s="93"/>
      <c r="AG83" s="93"/>
      <c r="AH83" s="93"/>
      <c r="AI83" s="93"/>
      <c r="AJ83" s="93"/>
      <c r="AK83" s="93"/>
      <c r="AL83" s="93"/>
      <c r="AM83" s="93"/>
      <c r="AN83" s="93"/>
      <c r="AO83" s="93"/>
      <c r="AP83" s="93"/>
      <c r="AQ83" s="93"/>
      <c r="AR83" s="93"/>
      <c r="AS83" s="93"/>
      <c r="AT83" s="93"/>
      <c r="AU83" s="93"/>
      <c r="AV83" s="93"/>
      <c r="AW83" s="93"/>
      <c r="AX83" s="93"/>
      <c r="AY83" s="93"/>
      <c r="AZ83" s="93"/>
      <c r="BA83" s="93"/>
      <c r="BB83" s="93"/>
      <c r="BC83" s="93"/>
      <c r="BD83" s="93"/>
      <c r="BE83" s="93"/>
      <c r="BF83" s="93"/>
      <c r="BG83" s="93"/>
      <c r="BH83" s="93"/>
      <c r="BI83" s="93"/>
      <c r="BJ83" s="93"/>
      <c r="BK83" s="93"/>
      <c r="BL83" s="93"/>
      <c r="BM83" s="93"/>
      <c r="BN83" s="93"/>
      <c r="BO83" s="93"/>
      <c r="BP83" s="93"/>
      <c r="BQ83" s="93"/>
      <c r="BR83" s="93"/>
      <c r="BS83" s="93"/>
      <c r="BT83" s="93"/>
      <c r="BU83" s="93"/>
      <c r="BV83" s="93"/>
      <c r="BW83" s="93"/>
      <c r="BX83" s="93"/>
      <c r="BY83" s="93"/>
      <c r="BZ83" s="93"/>
      <c r="CA83" s="93"/>
      <c r="CB83" s="93"/>
      <c r="CC83" s="93"/>
      <c r="CD83" s="93"/>
      <c r="CE83" s="93"/>
      <c r="CF83" s="93"/>
      <c r="CG83" s="93"/>
      <c r="CH83" s="93"/>
    </row>
    <row r="84" spans="1:86">
      <c r="A84" s="93"/>
      <c r="B84" s="107" t="s">
        <v>258</v>
      </c>
      <c r="C84" s="107" t="s">
        <v>275</v>
      </c>
      <c r="D84" s="166" t="s">
        <v>41</v>
      </c>
      <c r="E84" s="166"/>
      <c r="F84" s="166"/>
      <c r="G84" s="166"/>
      <c r="H84" s="93"/>
      <c r="I84" s="93"/>
      <c r="J84" s="93"/>
      <c r="K84" s="93"/>
      <c r="L84" s="93"/>
      <c r="M84" s="93"/>
      <c r="N84" s="93"/>
      <c r="O84" s="93"/>
      <c r="P84" s="93"/>
      <c r="Q84" s="93"/>
      <c r="R84" s="93"/>
      <c r="S84" s="93"/>
      <c r="T84" s="93"/>
      <c r="U84" s="93"/>
      <c r="V84" s="93"/>
      <c r="W84" s="93"/>
      <c r="X84" s="93"/>
      <c r="Y84" s="93"/>
      <c r="Z84" s="93"/>
      <c r="AA84" s="93"/>
      <c r="AB84" s="93"/>
      <c r="AC84" s="93"/>
      <c r="AD84" s="93"/>
      <c r="AE84" s="93"/>
      <c r="AF84" s="93"/>
      <c r="AG84" s="93"/>
      <c r="AH84" s="93"/>
      <c r="AI84" s="93"/>
      <c r="AJ84" s="93"/>
      <c r="AK84" s="93"/>
      <c r="AL84" s="93"/>
      <c r="AM84" s="93"/>
      <c r="AN84" s="93"/>
      <c r="AO84" s="93"/>
      <c r="AP84" s="93"/>
      <c r="AQ84" s="93"/>
      <c r="AR84" s="93"/>
      <c r="AS84" s="93"/>
      <c r="AT84" s="93"/>
      <c r="AU84" s="93"/>
      <c r="AV84" s="93"/>
      <c r="AW84" s="93"/>
      <c r="AX84" s="93"/>
      <c r="AY84" s="93"/>
      <c r="AZ84" s="93"/>
      <c r="BA84" s="93"/>
      <c r="BB84" s="93"/>
      <c r="BC84" s="93"/>
      <c r="BD84" s="93"/>
      <c r="BE84" s="93"/>
      <c r="BF84" s="93"/>
      <c r="BG84" s="93"/>
      <c r="BH84" s="93"/>
      <c r="BI84" s="93"/>
      <c r="BJ84" s="93"/>
      <c r="BK84" s="93"/>
      <c r="BL84" s="93"/>
      <c r="BM84" s="93"/>
      <c r="BN84" s="93"/>
      <c r="BO84" s="93"/>
      <c r="BP84" s="93"/>
      <c r="BQ84" s="93"/>
      <c r="BR84" s="93"/>
      <c r="BS84" s="93"/>
      <c r="BT84" s="93"/>
      <c r="BU84" s="93"/>
      <c r="BV84" s="93"/>
      <c r="BW84" s="93"/>
      <c r="BX84" s="93"/>
      <c r="BY84" s="93"/>
      <c r="BZ84" s="93"/>
      <c r="CA84" s="93"/>
      <c r="CB84" s="93"/>
      <c r="CC84" s="93"/>
      <c r="CD84" s="93"/>
      <c r="CE84" s="93"/>
      <c r="CF84" s="93"/>
      <c r="CG84" s="93"/>
      <c r="CH84" s="93"/>
    </row>
    <row r="85" spans="1:86">
      <c r="A85" s="93"/>
      <c r="B85" s="107" t="s">
        <v>258</v>
      </c>
      <c r="C85" s="107" t="s">
        <v>280</v>
      </c>
      <c r="D85" s="166" t="s">
        <v>255</v>
      </c>
      <c r="E85" s="166">
        <v>320836</v>
      </c>
      <c r="F85" s="166"/>
      <c r="G85" s="166">
        <v>320836</v>
      </c>
      <c r="H85" s="93"/>
      <c r="I85" s="93"/>
      <c r="J85" s="93"/>
      <c r="K85" s="93"/>
      <c r="L85" s="93"/>
      <c r="M85" s="93"/>
      <c r="N85" s="93"/>
      <c r="O85" s="93"/>
      <c r="P85" s="93"/>
      <c r="Q85" s="93"/>
      <c r="R85" s="93"/>
      <c r="S85" s="93"/>
      <c r="T85" s="93"/>
      <c r="U85" s="93"/>
      <c r="V85" s="93"/>
      <c r="W85" s="93"/>
      <c r="X85" s="93"/>
      <c r="Y85" s="93"/>
      <c r="Z85" s="93"/>
      <c r="AA85" s="93"/>
      <c r="AB85" s="93"/>
      <c r="AC85" s="93"/>
      <c r="AD85" s="93"/>
      <c r="AE85" s="93"/>
      <c r="AF85" s="93"/>
      <c r="AG85" s="93"/>
      <c r="AH85" s="93"/>
      <c r="AI85" s="93"/>
      <c r="AJ85" s="93"/>
      <c r="AK85" s="93"/>
      <c r="AL85" s="93"/>
      <c r="AM85" s="93"/>
      <c r="AN85" s="93"/>
      <c r="AO85" s="93"/>
      <c r="AP85" s="93"/>
      <c r="AQ85" s="93"/>
      <c r="AR85" s="93"/>
      <c r="AS85" s="93"/>
      <c r="AT85" s="93"/>
      <c r="AU85" s="93"/>
      <c r="AV85" s="93"/>
      <c r="AW85" s="93"/>
      <c r="AX85" s="93"/>
      <c r="AY85" s="93"/>
      <c r="AZ85" s="93"/>
      <c r="BA85" s="93"/>
      <c r="BB85" s="93"/>
      <c r="BC85" s="93"/>
      <c r="BD85" s="93"/>
      <c r="BE85" s="93"/>
      <c r="BF85" s="93"/>
      <c r="BG85" s="93"/>
      <c r="BH85" s="93"/>
      <c r="BI85" s="93"/>
      <c r="BJ85" s="93"/>
      <c r="BK85" s="93"/>
      <c r="BL85" s="93"/>
      <c r="BM85" s="93"/>
      <c r="BN85" s="93"/>
      <c r="BO85" s="93"/>
      <c r="BP85" s="93"/>
      <c r="BQ85" s="93"/>
      <c r="BR85" s="93"/>
      <c r="BS85" s="93"/>
      <c r="BT85" s="93"/>
      <c r="BU85" s="93"/>
      <c r="BV85" s="93"/>
      <c r="BW85" s="93"/>
      <c r="BX85" s="93"/>
      <c r="BY85" s="93"/>
      <c r="BZ85" s="93"/>
      <c r="CA85" s="93"/>
      <c r="CB85" s="93"/>
      <c r="CC85" s="93"/>
      <c r="CD85" s="93"/>
      <c r="CE85" s="93"/>
      <c r="CF85" s="93"/>
      <c r="CG85" s="93"/>
      <c r="CH85" s="93"/>
    </row>
    <row r="86" spans="1:86">
      <c r="A86" s="93"/>
      <c r="B86" s="107" t="s">
        <v>258</v>
      </c>
      <c r="C86" s="107" t="s">
        <v>281</v>
      </c>
      <c r="D86" s="166" t="s">
        <v>255</v>
      </c>
      <c r="E86" s="166"/>
      <c r="F86" s="166"/>
      <c r="G86" s="166"/>
      <c r="H86" s="93"/>
      <c r="I86" s="93"/>
      <c r="J86" s="93"/>
      <c r="K86" s="93"/>
      <c r="L86" s="93"/>
      <c r="M86" s="93"/>
      <c r="N86" s="93"/>
      <c r="O86" s="93"/>
      <c r="P86" s="93"/>
      <c r="Q86" s="93"/>
      <c r="R86" s="93"/>
      <c r="S86" s="93"/>
      <c r="T86" s="93"/>
      <c r="U86" s="93"/>
      <c r="V86" s="93"/>
      <c r="W86" s="93"/>
      <c r="X86" s="93"/>
      <c r="Y86" s="93"/>
      <c r="Z86" s="93"/>
      <c r="AA86" s="93"/>
      <c r="AB86" s="93"/>
      <c r="AC86" s="93"/>
      <c r="AD86" s="93"/>
      <c r="AE86" s="93"/>
      <c r="AF86" s="93"/>
      <c r="AG86" s="93"/>
      <c r="AH86" s="93"/>
      <c r="AI86" s="93"/>
      <c r="AJ86" s="93"/>
      <c r="AK86" s="93"/>
      <c r="AL86" s="93"/>
      <c r="AM86" s="93"/>
      <c r="AN86" s="93"/>
      <c r="AO86" s="93"/>
      <c r="AP86" s="93"/>
      <c r="AQ86" s="93"/>
      <c r="AR86" s="93"/>
      <c r="AS86" s="93"/>
      <c r="AT86" s="93"/>
      <c r="AU86" s="93"/>
      <c r="AV86" s="93"/>
      <c r="AW86" s="93"/>
      <c r="AX86" s="93"/>
      <c r="AY86" s="93"/>
      <c r="AZ86" s="93"/>
      <c r="BA86" s="93"/>
      <c r="BB86" s="93"/>
      <c r="BC86" s="93"/>
      <c r="BD86" s="93"/>
      <c r="BE86" s="93"/>
      <c r="BF86" s="93"/>
      <c r="BG86" s="93"/>
      <c r="BH86" s="93"/>
      <c r="BI86" s="93"/>
      <c r="BJ86" s="93"/>
      <c r="BK86" s="93"/>
      <c r="BL86" s="93"/>
      <c r="BM86" s="93"/>
      <c r="BN86" s="93"/>
      <c r="BO86" s="93"/>
      <c r="BP86" s="93"/>
      <c r="BQ86" s="93"/>
      <c r="BR86" s="93"/>
      <c r="BS86" s="93"/>
      <c r="BT86" s="93"/>
      <c r="BU86" s="93"/>
      <c r="BV86" s="93"/>
      <c r="BW86" s="93"/>
      <c r="BX86" s="93"/>
      <c r="BY86" s="93"/>
      <c r="BZ86" s="93"/>
      <c r="CA86" s="93"/>
      <c r="CB86" s="93"/>
      <c r="CC86" s="93"/>
      <c r="CD86" s="93"/>
      <c r="CE86" s="93"/>
      <c r="CF86" s="93"/>
      <c r="CG86" s="93"/>
      <c r="CH86" s="93"/>
    </row>
    <row r="87" spans="1:86">
      <c r="A87" s="93"/>
      <c r="B87" s="107" t="s">
        <v>258</v>
      </c>
      <c r="C87" s="107" t="s">
        <v>282</v>
      </c>
      <c r="D87" s="166" t="s">
        <v>255</v>
      </c>
      <c r="E87" s="166">
        <v>986462</v>
      </c>
      <c r="F87" s="166"/>
      <c r="G87" s="166">
        <v>1172372</v>
      </c>
      <c r="H87" s="93"/>
      <c r="I87" s="93"/>
      <c r="J87" s="93"/>
      <c r="K87" s="93"/>
      <c r="L87" s="93"/>
      <c r="M87" s="93"/>
      <c r="N87" s="93"/>
      <c r="O87" s="93"/>
      <c r="P87" s="93"/>
      <c r="Q87" s="93"/>
      <c r="R87" s="93"/>
      <c r="S87" s="93"/>
      <c r="T87" s="93"/>
      <c r="U87" s="93"/>
      <c r="V87" s="93"/>
      <c r="W87" s="93"/>
      <c r="X87" s="93"/>
      <c r="Y87" s="93"/>
      <c r="Z87" s="93"/>
      <c r="AA87" s="93"/>
      <c r="AB87" s="93"/>
      <c r="AC87" s="93"/>
      <c r="AD87" s="93"/>
      <c r="AE87" s="93"/>
      <c r="AF87" s="93"/>
      <c r="AG87" s="93"/>
      <c r="AH87" s="93"/>
      <c r="AI87" s="93"/>
      <c r="AJ87" s="93"/>
      <c r="AK87" s="93"/>
      <c r="AL87" s="93"/>
      <c r="AM87" s="93"/>
      <c r="AN87" s="93"/>
      <c r="AO87" s="93"/>
      <c r="AP87" s="93"/>
      <c r="AQ87" s="93"/>
      <c r="AR87" s="93"/>
      <c r="AS87" s="93"/>
      <c r="AT87" s="93"/>
      <c r="AU87" s="93"/>
      <c r="AV87" s="93"/>
      <c r="AW87" s="93"/>
      <c r="AX87" s="93"/>
      <c r="AY87" s="93"/>
      <c r="AZ87" s="93"/>
      <c r="BA87" s="93"/>
      <c r="BB87" s="93"/>
      <c r="BC87" s="93"/>
      <c r="BD87" s="93"/>
      <c r="BE87" s="93"/>
      <c r="BF87" s="93"/>
      <c r="BG87" s="93"/>
      <c r="BH87" s="93"/>
      <c r="BI87" s="93"/>
      <c r="BJ87" s="93"/>
      <c r="BK87" s="93"/>
      <c r="BL87" s="93"/>
      <c r="BM87" s="93"/>
      <c r="BN87" s="93"/>
      <c r="BO87" s="93"/>
      <c r="BP87" s="93"/>
      <c r="BQ87" s="93"/>
      <c r="BR87" s="93"/>
      <c r="BS87" s="93"/>
      <c r="BT87" s="93"/>
      <c r="BU87" s="93"/>
      <c r="BV87" s="93"/>
      <c r="BW87" s="93"/>
      <c r="BX87" s="93"/>
      <c r="BY87" s="93"/>
      <c r="BZ87" s="93"/>
      <c r="CA87" s="93"/>
      <c r="CB87" s="93"/>
      <c r="CC87" s="93"/>
      <c r="CD87" s="93"/>
      <c r="CE87" s="93"/>
      <c r="CF87" s="93"/>
      <c r="CG87" s="93"/>
      <c r="CH87" s="93"/>
    </row>
    <row r="88" spans="1:86">
      <c r="A88" s="93"/>
      <c r="B88" s="107" t="s">
        <v>258</v>
      </c>
      <c r="C88" s="107" t="s">
        <v>283</v>
      </c>
      <c r="D88" s="166" t="s">
        <v>255</v>
      </c>
      <c r="E88" s="166">
        <v>3575148</v>
      </c>
      <c r="F88" s="166"/>
      <c r="G88" s="166">
        <v>5505538</v>
      </c>
      <c r="H88" s="93"/>
      <c r="I88" s="93"/>
      <c r="J88" s="93"/>
      <c r="K88" s="93"/>
      <c r="L88" s="93"/>
      <c r="M88" s="93"/>
      <c r="N88" s="93"/>
      <c r="O88" s="93"/>
      <c r="P88" s="93"/>
      <c r="Q88" s="93"/>
      <c r="R88" s="93"/>
      <c r="S88" s="93"/>
      <c r="T88" s="93"/>
      <c r="U88" s="93"/>
      <c r="V88" s="93"/>
      <c r="W88" s="93"/>
      <c r="X88" s="93"/>
      <c r="Y88" s="93"/>
      <c r="Z88" s="93"/>
      <c r="AA88" s="93"/>
      <c r="AB88" s="93"/>
      <c r="AC88" s="93"/>
      <c r="AD88" s="93"/>
      <c r="AE88" s="93"/>
      <c r="AF88" s="93"/>
      <c r="AG88" s="93"/>
      <c r="AH88" s="93"/>
      <c r="AI88" s="93"/>
      <c r="AJ88" s="93"/>
      <c r="AK88" s="93"/>
      <c r="AL88" s="93"/>
      <c r="AM88" s="93"/>
      <c r="AN88" s="93"/>
      <c r="AO88" s="93"/>
      <c r="AP88" s="93"/>
      <c r="AQ88" s="93"/>
      <c r="AR88" s="93"/>
      <c r="AS88" s="93"/>
      <c r="AT88" s="93"/>
      <c r="AU88" s="93"/>
      <c r="AV88" s="93"/>
      <c r="AW88" s="93"/>
      <c r="AX88" s="93"/>
      <c r="AY88" s="93"/>
      <c r="AZ88" s="93"/>
      <c r="BA88" s="93"/>
      <c r="BB88" s="93"/>
      <c r="BC88" s="93"/>
      <c r="BD88" s="93"/>
      <c r="BE88" s="93"/>
      <c r="BF88" s="93"/>
      <c r="BG88" s="93"/>
      <c r="BH88" s="93"/>
      <c r="BI88" s="93"/>
      <c r="BJ88" s="93"/>
      <c r="BK88" s="93"/>
      <c r="BL88" s="93"/>
      <c r="BM88" s="93"/>
      <c r="BN88" s="93"/>
      <c r="BO88" s="93"/>
      <c r="BP88" s="93"/>
      <c r="BQ88" s="93"/>
      <c r="BR88" s="93"/>
      <c r="BS88" s="93"/>
      <c r="BT88" s="93"/>
      <c r="BU88" s="93"/>
      <c r="BV88" s="93"/>
      <c r="BW88" s="93"/>
      <c r="BX88" s="93"/>
      <c r="BY88" s="93"/>
      <c r="BZ88" s="93"/>
      <c r="CA88" s="93"/>
      <c r="CB88" s="93"/>
      <c r="CC88" s="93"/>
      <c r="CD88" s="93"/>
      <c r="CE88" s="93"/>
      <c r="CF88" s="93"/>
      <c r="CG88" s="93"/>
      <c r="CH88" s="93"/>
    </row>
    <row r="89" spans="1:86">
      <c r="A89" s="93"/>
      <c r="B89" s="107" t="s">
        <v>258</v>
      </c>
      <c r="C89" s="107" t="s">
        <v>286</v>
      </c>
      <c r="D89" s="166" t="s">
        <v>49</v>
      </c>
      <c r="E89" s="166">
        <v>200000</v>
      </c>
      <c r="F89" s="166"/>
      <c r="G89" s="166">
        <v>208385</v>
      </c>
      <c r="H89" s="93"/>
      <c r="I89" s="93"/>
      <c r="J89" s="93"/>
      <c r="K89" s="93"/>
      <c r="L89" s="93"/>
      <c r="M89" s="93"/>
      <c r="N89" s="93"/>
      <c r="O89" s="93"/>
      <c r="P89" s="93"/>
      <c r="Q89" s="93"/>
      <c r="R89" s="93"/>
      <c r="S89" s="93"/>
      <c r="T89" s="93"/>
      <c r="U89" s="93"/>
      <c r="V89" s="93"/>
      <c r="W89" s="93"/>
      <c r="X89" s="93"/>
      <c r="Y89" s="93"/>
      <c r="Z89" s="93"/>
      <c r="AA89" s="93"/>
      <c r="AB89" s="93"/>
      <c r="AC89" s="93"/>
      <c r="AD89" s="93"/>
      <c r="AE89" s="93"/>
      <c r="AF89" s="93"/>
      <c r="AG89" s="93"/>
      <c r="AH89" s="93"/>
      <c r="AI89" s="93"/>
      <c r="AJ89" s="93"/>
      <c r="AK89" s="93"/>
      <c r="AL89" s="93"/>
      <c r="AM89" s="93"/>
      <c r="AN89" s="93"/>
      <c r="AO89" s="93"/>
      <c r="AP89" s="93"/>
      <c r="AQ89" s="93"/>
      <c r="AR89" s="93"/>
      <c r="AS89" s="93"/>
      <c r="AT89" s="93"/>
      <c r="AU89" s="93"/>
      <c r="AV89" s="93"/>
      <c r="AW89" s="93"/>
      <c r="AX89" s="93"/>
      <c r="AY89" s="93"/>
      <c r="AZ89" s="93"/>
      <c r="BA89" s="93"/>
      <c r="BB89" s="93"/>
      <c r="BC89" s="93"/>
      <c r="BD89" s="93"/>
      <c r="BE89" s="93"/>
      <c r="BF89" s="93"/>
      <c r="BG89" s="93"/>
      <c r="BH89" s="93"/>
      <c r="BI89" s="93"/>
      <c r="BJ89" s="93"/>
      <c r="BK89" s="93"/>
      <c r="BL89" s="93"/>
      <c r="BM89" s="93"/>
      <c r="BN89" s="93"/>
      <c r="BO89" s="93"/>
      <c r="BP89" s="93"/>
      <c r="BQ89" s="93"/>
      <c r="BR89" s="93"/>
      <c r="BS89" s="93"/>
      <c r="BT89" s="93"/>
      <c r="BU89" s="93"/>
      <c r="BV89" s="93"/>
      <c r="BW89" s="93"/>
      <c r="BX89" s="93"/>
      <c r="BY89" s="93"/>
      <c r="BZ89" s="93"/>
      <c r="CA89" s="93"/>
      <c r="CB89" s="93"/>
      <c r="CC89" s="93"/>
      <c r="CD89" s="93"/>
      <c r="CE89" s="93"/>
      <c r="CF89" s="93"/>
      <c r="CG89" s="93"/>
      <c r="CH89" s="93"/>
    </row>
    <row r="90" spans="1:86">
      <c r="A90" s="93"/>
      <c r="B90" s="107" t="s">
        <v>258</v>
      </c>
      <c r="C90" s="107" t="s">
        <v>288</v>
      </c>
      <c r="D90" s="166" t="s">
        <v>246</v>
      </c>
      <c r="E90" s="166"/>
      <c r="F90" s="166"/>
      <c r="G90" s="166"/>
      <c r="H90" s="93"/>
      <c r="I90" s="93"/>
      <c r="J90" s="93"/>
      <c r="K90" s="93"/>
      <c r="L90" s="93"/>
      <c r="M90" s="93"/>
      <c r="N90" s="93"/>
      <c r="O90" s="93"/>
      <c r="P90" s="93"/>
      <c r="Q90" s="93"/>
      <c r="R90" s="93"/>
      <c r="S90" s="93"/>
      <c r="T90" s="93"/>
      <c r="U90" s="93"/>
      <c r="V90" s="93"/>
      <c r="W90" s="93"/>
      <c r="X90" s="93"/>
      <c r="Y90" s="93"/>
      <c r="Z90" s="93"/>
      <c r="AA90" s="93"/>
      <c r="AB90" s="93"/>
      <c r="AC90" s="93"/>
      <c r="AD90" s="93"/>
      <c r="AE90" s="93"/>
      <c r="AF90" s="93"/>
      <c r="AG90" s="93"/>
      <c r="AH90" s="93"/>
      <c r="AI90" s="93"/>
      <c r="AJ90" s="93"/>
      <c r="AK90" s="93"/>
      <c r="AL90" s="93"/>
      <c r="AM90" s="93"/>
      <c r="AN90" s="93"/>
      <c r="AO90" s="93"/>
      <c r="AP90" s="93"/>
      <c r="AQ90" s="93"/>
      <c r="AR90" s="93"/>
      <c r="AS90" s="93"/>
      <c r="AT90" s="93"/>
      <c r="AU90" s="93"/>
      <c r="AV90" s="93"/>
      <c r="AW90" s="93"/>
      <c r="AX90" s="93"/>
      <c r="AY90" s="93"/>
      <c r="AZ90" s="93"/>
      <c r="BA90" s="93"/>
      <c r="BB90" s="93"/>
      <c r="BC90" s="93"/>
      <c r="BD90" s="93"/>
      <c r="BE90" s="93"/>
      <c r="BF90" s="93"/>
      <c r="BG90" s="93"/>
      <c r="BH90" s="93"/>
      <c r="BI90" s="93"/>
      <c r="BJ90" s="93"/>
      <c r="BK90" s="93"/>
      <c r="BL90" s="93"/>
      <c r="BM90" s="93"/>
      <c r="BN90" s="93"/>
      <c r="BO90" s="93"/>
      <c r="BP90" s="93"/>
      <c r="BQ90" s="93"/>
      <c r="BR90" s="93"/>
      <c r="BS90" s="93"/>
      <c r="BT90" s="93"/>
      <c r="BU90" s="93"/>
      <c r="BV90" s="93"/>
      <c r="BW90" s="93"/>
      <c r="BX90" s="93"/>
      <c r="BY90" s="93"/>
      <c r="BZ90" s="93"/>
      <c r="CA90" s="93"/>
      <c r="CB90" s="93"/>
      <c r="CC90" s="93"/>
      <c r="CD90" s="93"/>
      <c r="CE90" s="93"/>
      <c r="CF90" s="93"/>
      <c r="CG90" s="93"/>
      <c r="CH90" s="93"/>
    </row>
    <row r="91" spans="1:86">
      <c r="A91" s="93"/>
      <c r="B91" s="107" t="s">
        <v>143</v>
      </c>
      <c r="C91" s="107" t="s">
        <v>144</v>
      </c>
      <c r="D91" s="166" t="s">
        <v>34</v>
      </c>
      <c r="E91" s="166"/>
      <c r="F91" s="166"/>
      <c r="G91" s="166"/>
      <c r="H91" s="166"/>
      <c r="I91" s="166">
        <v>401</v>
      </c>
      <c r="J91" s="166"/>
      <c r="K91" s="93"/>
      <c r="L91" s="93"/>
      <c r="M91" s="93"/>
      <c r="N91" s="93"/>
      <c r="O91" s="93"/>
      <c r="P91" s="93"/>
      <c r="Q91" s="93"/>
      <c r="R91" s="93"/>
      <c r="S91" s="93"/>
      <c r="T91" s="93"/>
      <c r="U91" s="93"/>
      <c r="V91" s="93"/>
      <c r="W91" s="93"/>
      <c r="X91" s="93"/>
      <c r="Y91" s="93"/>
      <c r="Z91" s="93"/>
      <c r="AA91" s="93"/>
      <c r="AB91" s="93"/>
      <c r="AC91" s="93"/>
      <c r="AD91" s="93"/>
      <c r="AE91" s="93"/>
      <c r="AF91" s="93"/>
      <c r="AG91" s="93"/>
      <c r="AH91" s="93"/>
      <c r="AI91" s="93"/>
      <c r="AJ91" s="93"/>
      <c r="AK91" s="93"/>
      <c r="AL91" s="93"/>
      <c r="AM91" s="93"/>
      <c r="AN91" s="93"/>
      <c r="AO91" s="93"/>
      <c r="AP91" s="93"/>
      <c r="AQ91" s="93"/>
      <c r="AR91" s="93"/>
      <c r="AS91" s="93"/>
      <c r="AT91" s="93"/>
      <c r="AU91" s="93"/>
      <c r="AV91" s="93"/>
      <c r="AW91" s="93"/>
      <c r="AX91" s="93"/>
      <c r="AY91" s="93"/>
      <c r="AZ91" s="93"/>
      <c r="BA91" s="93"/>
      <c r="BB91" s="93"/>
      <c r="BC91" s="93"/>
      <c r="BD91" s="93"/>
      <c r="BE91" s="93"/>
      <c r="BF91" s="93"/>
      <c r="BG91" s="93"/>
      <c r="BH91" s="93"/>
      <c r="BI91" s="93"/>
      <c r="BJ91" s="93"/>
      <c r="BK91" s="93"/>
      <c r="BL91" s="93"/>
      <c r="BM91" s="93"/>
      <c r="BN91" s="93"/>
      <c r="BO91" s="93"/>
      <c r="BP91" s="93"/>
      <c r="BQ91" s="93"/>
      <c r="BR91" s="93"/>
      <c r="BS91" s="93"/>
      <c r="BT91" s="93"/>
      <c r="BU91" s="93"/>
      <c r="BV91" s="93"/>
      <c r="BW91" s="93"/>
      <c r="BX91" s="93"/>
      <c r="BY91" s="93"/>
      <c r="BZ91" s="93"/>
      <c r="CA91" s="93"/>
      <c r="CB91" s="93"/>
      <c r="CC91" s="93"/>
      <c r="CD91" s="93"/>
      <c r="CE91" s="93"/>
      <c r="CF91" s="93"/>
      <c r="CG91" s="93"/>
      <c r="CH91" s="93"/>
    </row>
    <row r="92" spans="1:86">
      <c r="A92" s="93"/>
      <c r="B92" s="107" t="s">
        <v>143</v>
      </c>
      <c r="C92" s="107" t="s">
        <v>145</v>
      </c>
      <c r="D92" s="166" t="s">
        <v>243</v>
      </c>
      <c r="E92" s="166">
        <v>6131946</v>
      </c>
      <c r="F92" s="166"/>
      <c r="G92" s="166">
        <v>7551663</v>
      </c>
      <c r="H92" s="166"/>
      <c r="I92" s="166">
        <v>93</v>
      </c>
      <c r="J92" s="166"/>
      <c r="K92" s="93"/>
      <c r="L92" s="93"/>
      <c r="M92" s="93"/>
      <c r="N92" s="93"/>
      <c r="O92" s="93"/>
      <c r="P92" s="93"/>
      <c r="Q92" s="93"/>
      <c r="R92" s="93"/>
      <c r="S92" s="93"/>
      <c r="T92" s="93"/>
      <c r="U92" s="93"/>
      <c r="V92" s="93"/>
      <c r="W92" s="93"/>
      <c r="X92" s="93"/>
      <c r="Y92" s="93"/>
      <c r="Z92" s="93"/>
      <c r="AA92" s="93"/>
      <c r="AB92" s="93"/>
      <c r="AC92" s="93"/>
      <c r="AD92" s="93"/>
      <c r="AE92" s="93"/>
      <c r="AF92" s="93"/>
      <c r="AG92" s="93"/>
      <c r="AH92" s="93"/>
      <c r="AI92" s="93"/>
      <c r="AJ92" s="93"/>
      <c r="AK92" s="93"/>
      <c r="AL92" s="93"/>
      <c r="AM92" s="93"/>
      <c r="AN92" s="93"/>
      <c r="AO92" s="93"/>
      <c r="AP92" s="93"/>
      <c r="AQ92" s="93"/>
      <c r="AR92" s="93"/>
      <c r="AS92" s="93"/>
      <c r="AT92" s="93"/>
      <c r="AU92" s="93"/>
      <c r="AV92" s="93"/>
      <c r="AW92" s="93"/>
      <c r="AX92" s="93"/>
      <c r="AY92" s="93"/>
      <c r="AZ92" s="93"/>
      <c r="BA92" s="93"/>
      <c r="BB92" s="93"/>
      <c r="BC92" s="93"/>
      <c r="BD92" s="93"/>
      <c r="BE92" s="93"/>
      <c r="BF92" s="93"/>
      <c r="BG92" s="93"/>
      <c r="BH92" s="93"/>
      <c r="BI92" s="93"/>
      <c r="BJ92" s="93"/>
      <c r="BK92" s="93"/>
      <c r="BL92" s="93"/>
      <c r="BM92" s="93"/>
      <c r="BN92" s="93"/>
      <c r="BO92" s="93"/>
      <c r="BP92" s="93"/>
      <c r="BQ92" s="93"/>
      <c r="BR92" s="93"/>
      <c r="BS92" s="93"/>
      <c r="BT92" s="93"/>
      <c r="BU92" s="93"/>
      <c r="BV92" s="93"/>
      <c r="BW92" s="93"/>
      <c r="BX92" s="93"/>
      <c r="BY92" s="93"/>
      <c r="BZ92" s="93"/>
      <c r="CA92" s="93"/>
      <c r="CB92" s="93"/>
      <c r="CC92" s="93"/>
      <c r="CD92" s="93"/>
      <c r="CE92" s="93"/>
      <c r="CF92" s="93"/>
      <c r="CG92" s="93"/>
      <c r="CH92" s="93"/>
    </row>
    <row r="93" spans="1:86">
      <c r="A93" s="93"/>
      <c r="B93" s="107" t="s">
        <v>96</v>
      </c>
      <c r="C93" s="107" t="s">
        <v>146</v>
      </c>
      <c r="D93" s="166" t="s">
        <v>257</v>
      </c>
      <c r="E93" s="166">
        <v>5847761</v>
      </c>
      <c r="F93" s="166"/>
      <c r="G93" s="166">
        <v>7829030</v>
      </c>
      <c r="H93" s="166"/>
      <c r="I93" s="166">
        <v>88</v>
      </c>
      <c r="J93" s="166"/>
      <c r="K93" s="93"/>
      <c r="L93" s="93"/>
      <c r="M93" s="93"/>
      <c r="N93" s="93"/>
      <c r="O93" s="93"/>
      <c r="P93" s="93"/>
      <c r="Q93" s="93"/>
      <c r="R93" s="93"/>
      <c r="S93" s="93"/>
      <c r="T93" s="93"/>
      <c r="U93" s="93"/>
      <c r="V93" s="93"/>
      <c r="W93" s="93"/>
      <c r="X93" s="93"/>
      <c r="Y93" s="93"/>
      <c r="Z93" s="93"/>
      <c r="AA93" s="93"/>
      <c r="AB93" s="93"/>
      <c r="AC93" s="93"/>
      <c r="AD93" s="93"/>
      <c r="AE93" s="93"/>
      <c r="AF93" s="93"/>
      <c r="AG93" s="93"/>
      <c r="AH93" s="93"/>
      <c r="AI93" s="93"/>
      <c r="AJ93" s="93"/>
      <c r="AK93" s="93"/>
      <c r="AL93" s="93"/>
      <c r="AM93" s="93"/>
      <c r="AN93" s="93"/>
      <c r="AO93" s="93"/>
      <c r="AP93" s="93"/>
      <c r="AQ93" s="93"/>
      <c r="AR93" s="93"/>
      <c r="AS93" s="93"/>
      <c r="AT93" s="93"/>
      <c r="AU93" s="93"/>
      <c r="AV93" s="93"/>
      <c r="AW93" s="93"/>
      <c r="AX93" s="93"/>
      <c r="AY93" s="93"/>
      <c r="AZ93" s="93"/>
      <c r="BA93" s="93"/>
      <c r="BB93" s="93"/>
      <c r="BC93" s="93"/>
      <c r="BD93" s="93"/>
      <c r="BE93" s="93"/>
      <c r="BF93" s="93"/>
      <c r="BG93" s="93"/>
      <c r="BH93" s="93"/>
      <c r="BI93" s="93"/>
      <c r="BJ93" s="93"/>
      <c r="BK93" s="93"/>
      <c r="BL93" s="93"/>
      <c r="BM93" s="93"/>
      <c r="BN93" s="93"/>
      <c r="BO93" s="93"/>
      <c r="BP93" s="93"/>
      <c r="BQ93" s="93"/>
      <c r="BR93" s="93"/>
      <c r="BS93" s="93"/>
      <c r="BT93" s="93"/>
      <c r="BU93" s="93"/>
      <c r="BV93" s="93"/>
      <c r="BW93" s="93"/>
      <c r="BX93" s="93"/>
      <c r="BY93" s="93"/>
      <c r="BZ93" s="93"/>
      <c r="CA93" s="93"/>
      <c r="CB93" s="93"/>
      <c r="CC93" s="93"/>
      <c r="CD93" s="93"/>
      <c r="CE93" s="93"/>
      <c r="CF93" s="93"/>
      <c r="CG93" s="93"/>
      <c r="CH93" s="93"/>
    </row>
    <row r="94" spans="1:86">
      <c r="A94" s="93"/>
      <c r="B94" s="107" t="s">
        <v>147</v>
      </c>
      <c r="C94" s="107" t="s">
        <v>148</v>
      </c>
      <c r="D94" s="166" t="s">
        <v>253</v>
      </c>
      <c r="E94" s="166"/>
      <c r="F94" s="166"/>
      <c r="G94" s="166"/>
      <c r="H94" s="166"/>
      <c r="I94" s="166">
        <v>193</v>
      </c>
      <c r="J94" s="166"/>
      <c r="K94" s="93"/>
      <c r="L94" s="93"/>
      <c r="M94" s="93"/>
      <c r="N94" s="93"/>
      <c r="O94" s="93"/>
      <c r="P94" s="93"/>
      <c r="Q94" s="93"/>
      <c r="R94" s="93"/>
      <c r="S94" s="93"/>
      <c r="T94" s="93"/>
      <c r="U94" s="93"/>
      <c r="V94" s="93"/>
      <c r="W94" s="93"/>
      <c r="X94" s="93"/>
      <c r="Y94" s="93"/>
      <c r="Z94" s="93"/>
      <c r="AA94" s="93"/>
      <c r="AB94" s="93"/>
      <c r="AC94" s="93"/>
      <c r="AD94" s="93"/>
      <c r="AE94" s="93"/>
      <c r="AF94" s="93"/>
      <c r="AG94" s="93"/>
      <c r="AH94" s="93"/>
      <c r="AI94" s="93"/>
      <c r="AJ94" s="93"/>
      <c r="AK94" s="93"/>
      <c r="AL94" s="93"/>
      <c r="AM94" s="93"/>
      <c r="AN94" s="93"/>
      <c r="AO94" s="93"/>
      <c r="AP94" s="93"/>
      <c r="AQ94" s="93"/>
      <c r="AR94" s="93"/>
      <c r="AS94" s="93"/>
      <c r="AT94" s="93"/>
      <c r="AU94" s="93"/>
      <c r="AV94" s="93"/>
      <c r="AW94" s="93"/>
      <c r="AX94" s="93"/>
      <c r="AY94" s="93"/>
      <c r="AZ94" s="93"/>
      <c r="BA94" s="93"/>
      <c r="BB94" s="93"/>
      <c r="BC94" s="93"/>
      <c r="BD94" s="93"/>
      <c r="BE94" s="93"/>
      <c r="BF94" s="93"/>
      <c r="BG94" s="93"/>
      <c r="BH94" s="93"/>
      <c r="BI94" s="93"/>
      <c r="BJ94" s="93"/>
      <c r="BK94" s="93"/>
      <c r="BL94" s="93"/>
      <c r="BM94" s="93"/>
      <c r="BN94" s="93"/>
      <c r="BO94" s="93"/>
      <c r="BP94" s="93"/>
      <c r="BQ94" s="93"/>
      <c r="BR94" s="93"/>
      <c r="BS94" s="93"/>
      <c r="BT94" s="93"/>
      <c r="BU94" s="93"/>
      <c r="BV94" s="93"/>
      <c r="BW94" s="93"/>
      <c r="BX94" s="93"/>
      <c r="BY94" s="93"/>
      <c r="BZ94" s="93"/>
      <c r="CA94" s="93"/>
      <c r="CB94" s="93"/>
      <c r="CC94" s="93"/>
      <c r="CD94" s="93"/>
      <c r="CE94" s="93"/>
      <c r="CF94" s="93"/>
      <c r="CG94" s="93"/>
      <c r="CH94" s="93"/>
    </row>
    <row r="95" spans="1:86">
      <c r="A95" s="93"/>
      <c r="B95" s="8" t="s">
        <v>233</v>
      </c>
      <c r="C95" s="93"/>
      <c r="D95" s="167"/>
      <c r="E95" s="167"/>
      <c r="F95" s="167"/>
      <c r="G95" s="167">
        <v>51383564</v>
      </c>
      <c r="H95" s="167"/>
      <c r="I95" s="167">
        <v>759</v>
      </c>
      <c r="J95" s="167"/>
      <c r="K95" s="93"/>
      <c r="L95" s="93"/>
      <c r="M95" s="93"/>
      <c r="N95" s="93"/>
      <c r="O95" s="93"/>
      <c r="P95" s="93"/>
      <c r="Q95" s="93"/>
      <c r="R95" s="93"/>
      <c r="S95" s="93"/>
      <c r="T95" s="93"/>
      <c r="U95" s="93"/>
      <c r="V95" s="93"/>
      <c r="W95" s="93"/>
      <c r="X95" s="93"/>
      <c r="Y95" s="93"/>
      <c r="Z95" s="93"/>
      <c r="AA95" s="93"/>
      <c r="AB95" s="93"/>
      <c r="AC95" s="93"/>
      <c r="AD95" s="93"/>
      <c r="AE95" s="93"/>
      <c r="AF95" s="93"/>
      <c r="AG95" s="93"/>
      <c r="AH95" s="93"/>
      <c r="AI95" s="93"/>
      <c r="AJ95" s="93"/>
      <c r="AK95" s="93"/>
      <c r="AL95" s="93"/>
      <c r="AM95" s="93"/>
      <c r="AN95" s="93"/>
      <c r="AO95" s="93"/>
      <c r="AP95" s="93"/>
      <c r="AQ95" s="93"/>
      <c r="AR95" s="93"/>
      <c r="AS95" s="93"/>
      <c r="AT95" s="93"/>
      <c r="AU95" s="93"/>
      <c r="AV95" s="93"/>
      <c r="AW95" s="93"/>
      <c r="AX95" s="93"/>
      <c r="AY95" s="93"/>
      <c r="AZ95" s="93"/>
      <c r="BA95" s="93"/>
      <c r="BB95" s="93"/>
      <c r="BC95" s="93"/>
      <c r="BD95" s="93"/>
      <c r="BE95" s="93"/>
      <c r="BF95" s="93"/>
      <c r="BG95" s="93"/>
      <c r="BH95" s="93"/>
      <c r="BI95" s="93"/>
      <c r="BJ95" s="93"/>
      <c r="BK95" s="93"/>
      <c r="BL95" s="93"/>
      <c r="BM95" s="93"/>
      <c r="BN95" s="93"/>
      <c r="BO95" s="93"/>
      <c r="BP95" s="93"/>
      <c r="BQ95" s="93"/>
      <c r="BR95" s="93"/>
      <c r="BS95" s="93"/>
      <c r="BT95" s="93"/>
      <c r="BU95" s="93"/>
      <c r="BV95" s="93"/>
      <c r="BW95" s="93"/>
      <c r="BX95" s="93"/>
      <c r="BY95" s="93"/>
      <c r="BZ95" s="93"/>
      <c r="CA95" s="93"/>
      <c r="CB95" s="93"/>
      <c r="CC95" s="93"/>
      <c r="CD95" s="93"/>
      <c r="CE95" s="93"/>
      <c r="CF95" s="93"/>
      <c r="CG95" s="93"/>
      <c r="CH95" s="93"/>
    </row>
    <row r="96" spans="1:86">
      <c r="A96" s="93"/>
      <c r="B96" s="93"/>
      <c r="C96" s="93"/>
      <c r="D96" s="93"/>
      <c r="E96" s="93"/>
      <c r="F96" s="93"/>
      <c r="G96" s="93"/>
      <c r="H96" s="93"/>
      <c r="I96" s="93"/>
      <c r="J96" s="93"/>
      <c r="K96" s="93"/>
      <c r="L96" s="93"/>
      <c r="M96" s="93"/>
      <c r="N96" s="93"/>
      <c r="O96" s="93"/>
      <c r="P96" s="93"/>
      <c r="Q96" s="93"/>
      <c r="R96" s="93"/>
      <c r="S96" s="93"/>
      <c r="T96" s="93"/>
      <c r="U96" s="93"/>
      <c r="V96" s="93"/>
      <c r="W96" s="93"/>
      <c r="X96" s="93"/>
      <c r="Y96" s="93"/>
      <c r="Z96" s="93"/>
      <c r="AA96" s="93"/>
      <c r="AB96" s="93"/>
      <c r="AC96" s="93"/>
      <c r="AD96" s="93"/>
      <c r="AE96" s="93"/>
      <c r="AF96" s="93"/>
      <c r="AG96" s="93"/>
      <c r="AH96" s="93"/>
      <c r="AI96" s="93"/>
      <c r="AJ96" s="93"/>
      <c r="AK96" s="93"/>
      <c r="AL96" s="93"/>
      <c r="AM96" s="93"/>
      <c r="AN96" s="93"/>
      <c r="AO96" s="93"/>
      <c r="AP96" s="93"/>
      <c r="AQ96" s="93"/>
      <c r="AR96" s="93"/>
      <c r="AS96" s="93"/>
      <c r="AT96" s="93"/>
      <c r="AU96" s="93"/>
      <c r="AV96" s="93"/>
      <c r="AW96" s="93"/>
      <c r="AX96" s="93"/>
      <c r="AY96" s="93"/>
      <c r="AZ96" s="93"/>
      <c r="BA96" s="93"/>
      <c r="BB96" s="93"/>
      <c r="BC96" s="93"/>
      <c r="BD96" s="93"/>
      <c r="BE96" s="93"/>
      <c r="BF96" s="93"/>
      <c r="BG96" s="93"/>
      <c r="BH96" s="93"/>
      <c r="BI96" s="93"/>
      <c r="BJ96" s="93"/>
      <c r="BK96" s="93"/>
      <c r="BL96" s="93"/>
      <c r="BM96" s="93"/>
      <c r="BN96" s="93"/>
      <c r="BO96" s="93"/>
      <c r="BP96" s="93"/>
      <c r="BQ96" s="93"/>
      <c r="BR96" s="93"/>
      <c r="BS96" s="93"/>
      <c r="BT96" s="93"/>
      <c r="BU96" s="93"/>
      <c r="BV96" s="93"/>
      <c r="BW96" s="93"/>
      <c r="BX96" s="93"/>
      <c r="BY96" s="93"/>
      <c r="BZ96" s="93"/>
      <c r="CA96" s="93"/>
      <c r="CB96" s="93"/>
      <c r="CC96" s="93"/>
      <c r="CD96" s="93"/>
      <c r="CE96" s="93"/>
      <c r="CF96" s="93"/>
      <c r="CG96" s="93"/>
      <c r="CH96" s="93"/>
    </row>
    <row r="97" spans="1:86">
      <c r="A97" s="93"/>
      <c r="B97" s="93"/>
      <c r="C97" s="93"/>
      <c r="D97" s="93"/>
      <c r="E97" s="93"/>
      <c r="F97" s="93"/>
      <c r="G97" s="93"/>
      <c r="H97" s="93"/>
      <c r="I97" s="93"/>
      <c r="J97" s="93"/>
      <c r="K97" s="93"/>
      <c r="L97" s="93"/>
      <c r="M97" s="93"/>
      <c r="N97" s="93"/>
      <c r="O97" s="93"/>
      <c r="P97" s="93"/>
      <c r="Q97" s="93"/>
      <c r="R97" s="93"/>
      <c r="S97" s="93"/>
      <c r="T97" s="93"/>
      <c r="U97" s="93"/>
      <c r="V97" s="93"/>
      <c r="W97" s="93"/>
      <c r="X97" s="93"/>
      <c r="Y97" s="93"/>
      <c r="Z97" s="93"/>
      <c r="AA97" s="93"/>
      <c r="AB97" s="93"/>
      <c r="AC97" s="93"/>
      <c r="AD97" s="93"/>
      <c r="AE97" s="93"/>
      <c r="AF97" s="93"/>
      <c r="AG97" s="93"/>
      <c r="AH97" s="93"/>
      <c r="AI97" s="93"/>
      <c r="AJ97" s="93"/>
      <c r="AK97" s="93"/>
      <c r="AL97" s="93"/>
      <c r="AM97" s="93"/>
      <c r="AN97" s="93"/>
      <c r="AO97" s="93"/>
      <c r="AP97" s="93"/>
      <c r="AQ97" s="93"/>
      <c r="AR97" s="93"/>
      <c r="AS97" s="93"/>
      <c r="AT97" s="93"/>
      <c r="AU97" s="93"/>
      <c r="AV97" s="93"/>
      <c r="AW97" s="93"/>
      <c r="AX97" s="93"/>
      <c r="AY97" s="93"/>
      <c r="AZ97" s="93"/>
      <c r="BA97" s="93"/>
      <c r="BB97" s="93"/>
      <c r="BC97" s="93"/>
      <c r="BD97" s="93"/>
      <c r="BE97" s="93"/>
      <c r="BF97" s="93"/>
      <c r="BG97" s="93"/>
      <c r="BH97" s="93"/>
      <c r="BI97" s="93"/>
      <c r="BJ97" s="93"/>
      <c r="BK97" s="93"/>
      <c r="BL97" s="93"/>
      <c r="BM97" s="93"/>
      <c r="BN97" s="93"/>
      <c r="BO97" s="93"/>
      <c r="BP97" s="93"/>
      <c r="BQ97" s="93"/>
      <c r="BR97" s="93"/>
      <c r="BS97" s="93"/>
      <c r="BT97" s="93"/>
      <c r="BU97" s="93"/>
      <c r="BV97" s="93"/>
      <c r="BW97" s="93"/>
      <c r="BX97" s="93"/>
      <c r="BY97" s="93"/>
      <c r="BZ97" s="93"/>
      <c r="CA97" s="93"/>
      <c r="CB97" s="93"/>
      <c r="CC97" s="93"/>
      <c r="CD97" s="93"/>
      <c r="CE97" s="93"/>
      <c r="CF97" s="93"/>
      <c r="CG97" s="93"/>
      <c r="CH97" s="93"/>
    </row>
    <row r="98" spans="1:86">
      <c r="A98" s="93"/>
      <c r="B98" s="93"/>
      <c r="C98" s="93"/>
      <c r="D98" s="93"/>
      <c r="E98" s="93"/>
      <c r="F98" s="93"/>
      <c r="G98" s="93"/>
      <c r="H98" s="93"/>
      <c r="I98" s="93"/>
      <c r="J98" s="93"/>
      <c r="K98" s="93"/>
      <c r="L98" s="93"/>
      <c r="M98" s="93"/>
      <c r="N98" s="93"/>
      <c r="O98" s="93"/>
      <c r="P98" s="93"/>
      <c r="Q98" s="93"/>
      <c r="R98" s="93"/>
      <c r="S98" s="93"/>
      <c r="T98" s="93"/>
      <c r="U98" s="93"/>
      <c r="V98" s="93"/>
      <c r="W98" s="93"/>
      <c r="X98" s="93"/>
      <c r="Y98" s="93"/>
      <c r="Z98" s="93"/>
      <c r="AA98" s="93"/>
      <c r="AB98" s="93"/>
      <c r="AC98" s="93"/>
      <c r="AD98" s="93"/>
      <c r="AE98" s="93"/>
      <c r="AF98" s="93"/>
      <c r="AG98" s="93"/>
      <c r="AH98" s="93"/>
      <c r="AI98" s="93"/>
      <c r="AJ98" s="93"/>
      <c r="AK98" s="93"/>
      <c r="AL98" s="93"/>
      <c r="AM98" s="93"/>
      <c r="AN98" s="93"/>
      <c r="AO98" s="93"/>
      <c r="AP98" s="93"/>
      <c r="AQ98" s="93"/>
      <c r="AR98" s="93"/>
      <c r="AS98" s="93"/>
      <c r="AT98" s="93"/>
      <c r="AU98" s="93"/>
      <c r="AV98" s="93"/>
      <c r="AW98" s="93"/>
      <c r="AX98" s="93"/>
      <c r="AY98" s="93"/>
      <c r="AZ98" s="93"/>
      <c r="BA98" s="93"/>
      <c r="BB98" s="93"/>
      <c r="BC98" s="93"/>
      <c r="BD98" s="93"/>
      <c r="BE98" s="93"/>
      <c r="BF98" s="93"/>
      <c r="BG98" s="93"/>
      <c r="BH98" s="93"/>
      <c r="BI98" s="93"/>
      <c r="BJ98" s="93"/>
      <c r="BK98" s="93"/>
      <c r="BL98" s="93"/>
      <c r="BM98" s="93"/>
      <c r="BN98" s="93"/>
      <c r="BO98" s="93"/>
      <c r="BP98" s="93"/>
      <c r="BQ98" s="93"/>
      <c r="BR98" s="93"/>
      <c r="BS98" s="93"/>
      <c r="BT98" s="93"/>
      <c r="BU98" s="93"/>
      <c r="BV98" s="93"/>
      <c r="BW98" s="93"/>
      <c r="BX98" s="93"/>
      <c r="BY98" s="93"/>
      <c r="BZ98" s="93"/>
      <c r="CA98" s="93"/>
      <c r="CB98" s="93"/>
      <c r="CC98" s="93"/>
      <c r="CD98" s="93"/>
      <c r="CE98" s="93"/>
      <c r="CF98" s="93"/>
      <c r="CG98" s="93"/>
      <c r="CH98" s="93"/>
    </row>
  </sheetData>
  <sortState xmlns:xlrd2="http://schemas.microsoft.com/office/spreadsheetml/2017/richdata2" ref="A5:T71">
    <sortCondition ref="A5:A71"/>
    <sortCondition ref="M5:M71"/>
    <sortCondition ref="N5:N71"/>
  </sortState>
  <conditionalFormatting sqref="K4:K71">
    <cfRule type="dataBar" priority="19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{AD2D0775-BE12-104D-AA32-108B179522E9}</x14:id>
        </ext>
      </extLst>
    </cfRule>
  </conditionalFormatting>
  <conditionalFormatting sqref="M4:M71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N4:N71">
    <cfRule type="colorScale" priority="16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O4:O71">
    <cfRule type="cellIs" dxfId="126" priority="14" operator="lessThan">
      <formula>0</formula>
    </cfRule>
    <cfRule type="cellIs" dxfId="125" priority="15" operator="greaterThan">
      <formula>0</formula>
    </cfRule>
  </conditionalFormatting>
  <conditionalFormatting sqref="P4:P71">
    <cfRule type="cellIs" dxfId="124" priority="12" operator="lessThan">
      <formula>0</formula>
    </cfRule>
    <cfRule type="cellIs" dxfId="123" priority="13" operator="greaterThan">
      <formula>0</formula>
    </cfRule>
  </conditionalFormatting>
  <conditionalFormatting sqref="Q4:Q71">
    <cfRule type="cellIs" dxfId="122" priority="10" operator="lessThanOrEqual">
      <formula>0</formula>
    </cfRule>
    <cfRule type="cellIs" dxfId="121" priority="11" operator="greaterThan">
      <formula>0</formula>
    </cfRule>
  </conditionalFormatting>
  <conditionalFormatting sqref="R4:R71">
    <cfRule type="cellIs" dxfId="120" priority="8" operator="lessThanOrEqual">
      <formula>0</formula>
    </cfRule>
    <cfRule type="cellIs" dxfId="119" priority="9" operator="greaterThan">
      <formula>0</formula>
    </cfRule>
  </conditionalFormatting>
  <conditionalFormatting sqref="I4:I71">
    <cfRule type="dataBar" priority="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{DCFBDA1F-1C11-7146-9762-32F8AACFBFD8}</x14:id>
        </ext>
      </extLst>
    </cfRule>
  </conditionalFormatting>
  <hyperlinks>
    <hyperlink ref="I2" r:id="rId1" xr:uid="{0958B10B-B7AE-F54A-9617-93BAD4BE10C4}"/>
    <hyperlink ref="D2" r:id="rId2" xr:uid="{CBDCC9D8-B8AB-2342-8C5C-01847F7C12CA}"/>
    <hyperlink ref="O2" r:id="rId3" xr:uid="{7DEA83BE-ED8B-0549-8469-DAC155A0431D}"/>
  </hyperlinks>
  <pageMargins left="0.7" right="0.7" top="0.75" bottom="0.75" header="0.3" footer="0.3"/>
  <tableParts count="1">
    <tablePart r:id="rId4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AD2D0775-BE12-104D-AA32-108B179522E9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K4:K71</xm:sqref>
        </x14:conditionalFormatting>
        <x14:conditionalFormatting xmlns:xm="http://schemas.microsoft.com/office/excel/2006/main">
          <x14:cfRule type="dataBar" id="{DCFBDA1F-1C11-7146-9762-32F8AACFBFD8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I4:I71</xm:sqref>
        </x14:conditionalFormatting>
        <x14:conditionalFormatting xmlns:xm="http://schemas.microsoft.com/office/excel/2006/main">
          <x14:cfRule type="iconSet" priority="5" id="{F252D859-57A3-3C4B-94F6-3D4472490286}">
            <x14:iconSet iconSet="3Triangles" custom="1">
              <x14:cfvo type="percent">
                <xm:f>0</xm:f>
              </x14:cfvo>
              <x14:cfvo type="num">
                <xm:f>0</xm:f>
              </x14:cfvo>
              <x14:cfvo type="formula">
                <xm:f>"L72"</xm:f>
              </x14:cfvo>
              <x14:cfIcon iconSet="4TrafficLights" iconId="0"/>
              <x14:cfIcon iconSet="3TrafficLights1" iconId="2"/>
              <x14:cfIcon iconSet="3TrafficLights1" iconId="0"/>
            </x14:iconSet>
          </x14:cfRule>
          <xm:sqref>L4:L71</xm:sqref>
        </x14:conditionalFormatting>
        <x14:conditionalFormatting xmlns:xm="http://schemas.microsoft.com/office/excel/2006/main">
          <x14:cfRule type="iconSet" priority="6" id="{CB7B3095-1BB7-CE4B-A437-E0D7D0C09C62}">
            <x14:iconSet iconSet="3Triangles">
              <x14:cfvo type="percent">
                <xm:f>0</xm:f>
              </x14:cfvo>
              <x14:cfvo type="num">
                <xm:f>0</xm:f>
              </x14:cfvo>
              <x14:cfvo type="formula">
                <xm:f>"$H$72"</xm:f>
              </x14:cfvo>
            </x14:iconSet>
          </x14:cfRule>
          <xm:sqref>H4:H71</xm:sqref>
        </x14:conditionalFormatting>
        <x14:conditionalFormatting xmlns:xm="http://schemas.microsoft.com/office/excel/2006/main">
          <x14:cfRule type="iconSet" priority="3" id="{D6EA180D-6580-B145-96A0-B250C9E88782}">
            <x14:iconSet iconSet="3Triangles">
              <x14:cfvo type="percent">
                <xm:f>0</xm:f>
              </x14:cfvo>
              <x14:cfvo type="percent">
                <xm:f>25</xm:f>
              </x14:cfvo>
              <x14:cfvo type="formula">
                <xm:f>"$F$72"</xm:f>
              </x14:cfvo>
            </x14:iconSet>
          </x14:cfRule>
          <xm:sqref>F4:F71</xm:sqref>
        </x14:conditionalFormatting>
        <x14:conditionalFormatting xmlns:xm="http://schemas.microsoft.com/office/excel/2006/main">
          <x14:cfRule type="iconSet" priority="2" id="{1D1658AA-66AD-F148-A497-F27C7F6434B1}">
            <x14:iconSet iconSet="3Flags" custom="1">
              <x14:cfvo type="percent">
                <xm:f>0</xm:f>
              </x14:cfvo>
              <x14:cfvo type="percent">
                <xm:f>33</xm:f>
              </x14:cfvo>
              <x14:cfvo type="percent">
                <xm:f>66</xm:f>
              </x14:cfvo>
              <x14:cfIcon iconSet="3Flags" iconId="2"/>
              <x14:cfIcon iconSet="3Flags" iconId="1"/>
              <x14:cfIcon iconSet="3Flags" iconId="0"/>
            </x14:iconSet>
          </x14:cfRule>
          <xm:sqref>T4:T71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3B1FF8-8F75-0042-A2DC-9EE9FAE9B4EE}">
  <dimension ref="A1:V95"/>
  <sheetViews>
    <sheetView topLeftCell="A52" zoomScale="125" zoomScaleNormal="267" workbookViewId="0">
      <selection activeCell="L80" sqref="L80"/>
    </sheetView>
  </sheetViews>
  <sheetFormatPr baseColWidth="10" defaultRowHeight="16"/>
  <cols>
    <col min="1" max="1" width="15" customWidth="1"/>
    <col min="2" max="2" width="11.6640625" customWidth="1"/>
    <col min="3" max="3" width="29" customWidth="1"/>
    <col min="4" max="4" width="16.6640625" customWidth="1"/>
    <col min="5" max="5" width="12" customWidth="1"/>
    <col min="6" max="6" width="9.5" customWidth="1"/>
    <col min="7" max="7" width="13.5" customWidth="1"/>
    <col min="8" max="8" width="9" customWidth="1"/>
    <col min="9" max="9" width="10.1640625" customWidth="1"/>
    <col min="10" max="10" width="11" customWidth="1"/>
    <col min="11" max="11" width="8" customWidth="1"/>
    <col min="12" max="12" width="9.1640625" customWidth="1"/>
    <col min="13" max="13" width="8.1640625" customWidth="1"/>
    <col min="14" max="14" width="12.33203125" customWidth="1"/>
    <col min="15" max="15" width="9.5" customWidth="1"/>
    <col min="16" max="16" width="10.83203125" customWidth="1"/>
    <col min="17" max="17" width="9.6640625" customWidth="1"/>
    <col min="18" max="18" width="8.33203125" customWidth="1"/>
    <col min="19" max="19" width="14.5" bestFit="1" customWidth="1"/>
    <col min="20" max="20" width="6.5" customWidth="1"/>
    <col min="21" max="21" width="15.83203125" bestFit="1" customWidth="1"/>
    <col min="22" max="22" width="27.1640625" bestFit="1" customWidth="1"/>
    <col min="23" max="23" width="20.6640625" bestFit="1" customWidth="1"/>
    <col min="24" max="24" width="6.6640625" bestFit="1" customWidth="1"/>
    <col min="25" max="25" width="6.33203125" bestFit="1" customWidth="1"/>
    <col min="26" max="26" width="19.83203125" bestFit="1" customWidth="1"/>
    <col min="27" max="27" width="15.83203125" bestFit="1" customWidth="1"/>
    <col min="28" max="28" width="8.33203125" bestFit="1" customWidth="1"/>
    <col min="29" max="29" width="11.6640625" bestFit="1" customWidth="1"/>
    <col min="30" max="30" width="12.1640625" bestFit="1" customWidth="1"/>
    <col min="31" max="31" width="9.33203125" bestFit="1" customWidth="1"/>
    <col min="32" max="32" width="8.6640625" bestFit="1" customWidth="1"/>
    <col min="33" max="33" width="5.1640625" bestFit="1" customWidth="1"/>
    <col min="34" max="34" width="8.83203125" bestFit="1" customWidth="1"/>
    <col min="35" max="35" width="9" bestFit="1" customWidth="1"/>
    <col min="36" max="36" width="9.6640625" bestFit="1" customWidth="1"/>
    <col min="37" max="37" width="19.83203125" bestFit="1" customWidth="1"/>
    <col min="38" max="38" width="19.33203125" bestFit="1" customWidth="1"/>
    <col min="39" max="39" width="18.1640625" bestFit="1" customWidth="1"/>
    <col min="40" max="40" width="17" bestFit="1" customWidth="1"/>
    <col min="41" max="41" width="12.83203125" bestFit="1" customWidth="1"/>
    <col min="42" max="42" width="25" bestFit="1" customWidth="1"/>
    <col min="43" max="43" width="11" bestFit="1" customWidth="1"/>
    <col min="44" max="44" width="8" bestFit="1" customWidth="1"/>
    <col min="45" max="45" width="19" bestFit="1" customWidth="1"/>
    <col min="46" max="46" width="6.6640625" bestFit="1" customWidth="1"/>
    <col min="47" max="47" width="20.33203125" bestFit="1" customWidth="1"/>
    <col min="48" max="48" width="9" bestFit="1" customWidth="1"/>
    <col min="49" max="49" width="15.5" bestFit="1" customWidth="1"/>
    <col min="50" max="50" width="24.5" bestFit="1" customWidth="1"/>
    <col min="51" max="51" width="21.6640625" bestFit="1" customWidth="1"/>
    <col min="52" max="52" width="24.33203125" bestFit="1" customWidth="1"/>
    <col min="53" max="53" width="16.5" bestFit="1" customWidth="1"/>
    <col min="54" max="54" width="15.33203125" bestFit="1" customWidth="1"/>
    <col min="55" max="55" width="29" bestFit="1" customWidth="1"/>
    <col min="56" max="56" width="15.5" bestFit="1" customWidth="1"/>
    <col min="57" max="57" width="23.83203125" bestFit="1" customWidth="1"/>
    <col min="58" max="58" width="22.5" bestFit="1" customWidth="1"/>
    <col min="59" max="59" width="27" bestFit="1" customWidth="1"/>
    <col min="60" max="60" width="4.6640625" bestFit="1" customWidth="1"/>
    <col min="61" max="61" width="11" bestFit="1" customWidth="1"/>
    <col min="62" max="62" width="8.6640625" bestFit="1" customWidth="1"/>
    <col min="63" max="63" width="20.1640625" bestFit="1" customWidth="1"/>
    <col min="64" max="64" width="6.5" bestFit="1" customWidth="1"/>
    <col min="65" max="65" width="9" bestFit="1" customWidth="1"/>
    <col min="66" max="66" width="9.5" bestFit="1" customWidth="1"/>
    <col min="67" max="67" width="7.33203125" bestFit="1" customWidth="1"/>
    <col min="68" max="68" width="14" bestFit="1" customWidth="1"/>
    <col min="69" max="69" width="21.6640625" bestFit="1" customWidth="1"/>
    <col min="70" max="70" width="12.83203125" bestFit="1" customWidth="1"/>
    <col min="71" max="71" width="8.33203125" bestFit="1" customWidth="1"/>
    <col min="72" max="72" width="17.6640625" bestFit="1" customWidth="1"/>
    <col min="73" max="73" width="22" bestFit="1" customWidth="1"/>
    <col min="74" max="74" width="23.83203125" bestFit="1" customWidth="1"/>
    <col min="75" max="75" width="7" bestFit="1" customWidth="1"/>
    <col min="76" max="76" width="44.33203125" bestFit="1" customWidth="1"/>
    <col min="77" max="77" width="25.33203125" bestFit="1" customWidth="1"/>
    <col min="78" max="78" width="12" bestFit="1" customWidth="1"/>
  </cols>
  <sheetData>
    <row r="1" spans="1:21">
      <c r="A1" t="s">
        <v>221</v>
      </c>
      <c r="B1" t="s">
        <v>225</v>
      </c>
      <c r="G1" s="77" t="s">
        <v>222</v>
      </c>
      <c r="H1" s="77"/>
    </row>
    <row r="2" spans="1:21">
      <c r="A2" t="s">
        <v>220</v>
      </c>
      <c r="B2" t="s">
        <v>224</v>
      </c>
      <c r="G2" s="77" t="s">
        <v>223</v>
      </c>
      <c r="H2" s="77"/>
      <c r="I2" s="78" t="s">
        <v>227</v>
      </c>
      <c r="J2" s="78"/>
      <c r="K2" s="78"/>
      <c r="T2" s="102"/>
      <c r="U2" s="13">
        <f>T2*'2019 CNESER'!H73</f>
        <v>0</v>
      </c>
    </row>
    <row r="3" spans="1:21" s="219" customFormat="1" ht="79" customHeight="1">
      <c r="A3" s="4" t="s">
        <v>213</v>
      </c>
      <c r="B3" s="4" t="s">
        <v>62</v>
      </c>
      <c r="C3" s="4" t="s">
        <v>0</v>
      </c>
      <c r="D3" s="4" t="s">
        <v>242</v>
      </c>
      <c r="E3" s="4" t="s">
        <v>309</v>
      </c>
      <c r="F3" s="4" t="s">
        <v>377</v>
      </c>
      <c r="G3" s="4" t="s">
        <v>264</v>
      </c>
      <c r="H3" s="4" t="s">
        <v>294</v>
      </c>
      <c r="I3" s="4" t="s">
        <v>236</v>
      </c>
      <c r="J3" s="4" t="s">
        <v>369</v>
      </c>
      <c r="K3" s="4" t="s">
        <v>370</v>
      </c>
      <c r="L3" s="4" t="s">
        <v>333</v>
      </c>
      <c r="M3" s="4" t="s">
        <v>340</v>
      </c>
      <c r="N3" s="4" t="s">
        <v>179</v>
      </c>
      <c r="O3" s="4" t="s">
        <v>335</v>
      </c>
      <c r="P3" s="4" t="s">
        <v>336</v>
      </c>
      <c r="Q3" s="4" t="s">
        <v>292</v>
      </c>
      <c r="R3" s="4" t="s">
        <v>293</v>
      </c>
    </row>
    <row r="4" spans="1:21">
      <c r="A4" s="25" t="s">
        <v>197</v>
      </c>
      <c r="B4" s="26" t="s">
        <v>6</v>
      </c>
      <c r="C4" s="135" t="s">
        <v>7</v>
      </c>
      <c r="D4" s="135" t="s">
        <v>43</v>
      </c>
      <c r="E4" s="207">
        <v>112730325</v>
      </c>
      <c r="F4" s="183">
        <f>(SUMIF(C$4:C$76,C4,E$4:E$76)-SUMIF('2019 CNESER'!C$4:C$77,C4,'2019 CNESER'!E$4:E$77))/(SUMIF('2019 CNESER'!C$4:C$77,C4,'2019 CNESER'!E$4:E$77))</f>
        <v>4.3398081332509273E-3</v>
      </c>
      <c r="G4" s="207">
        <v>125486526</v>
      </c>
      <c r="H4" s="183">
        <f>(SUMIF(C$4:C$76,C4,G$4:G$76)-SUMIF('2019 CNESER'!C$4:C$77,C4,'2019 CNESER'!F$4:F$77))/(SUMIF('2019 CNESER'!C$4:C$77,C4,'2019 CNESER'!F$4:F$77))</f>
        <v>3.4523025381856796E-3</v>
      </c>
      <c r="I4" s="136">
        <v>1562</v>
      </c>
      <c r="J4" s="137">
        <v>1572</v>
      </c>
      <c r="K4" s="183">
        <f>(J4-I4)/I4</f>
        <v>6.4020486555697821E-3</v>
      </c>
      <c r="L4" s="173">
        <v>25014</v>
      </c>
      <c r="M4" s="101">
        <f>(SUMIF($C$4:$C$76,$C4,$L$4:$L$76)-SUMIF('2019 CNESER'!$C$4:$C$77,'2020 CNESER'!$C4,'2019 CNESER'!$H$4:$H$77))/SUMIF('2019 CNESER'!$C$4:$C$77,'2020 CNESER'!$C4,'2019 CNESER'!$H$4:$H$77)</f>
        <v>8.6195666333753099E-2</v>
      </c>
      <c r="N4" s="27">
        <f t="shared" ref="N4:N38" si="0">G4/L4</f>
        <v>5016.6517150395775</v>
      </c>
      <c r="O4" s="28">
        <f>I4/L4*100</f>
        <v>6.244503078276165</v>
      </c>
      <c r="P4" s="112">
        <f t="shared" ref="P4:P35" si="1">J4-I4</f>
        <v>10</v>
      </c>
      <c r="Q4" s="76">
        <f t="shared" ref="Q4:Q35" si="2">E4/J4</f>
        <v>71711.402671755728</v>
      </c>
      <c r="R4" s="96">
        <f t="shared" ref="R4:R35" si="3">E4/G4</f>
        <v>0.89834605031619097</v>
      </c>
    </row>
    <row r="5" spans="1:21">
      <c r="A5" s="31" t="s">
        <v>197</v>
      </c>
      <c r="B5" s="26" t="s">
        <v>4</v>
      </c>
      <c r="C5" s="135" t="s">
        <v>5</v>
      </c>
      <c r="D5" s="135" t="s">
        <v>5</v>
      </c>
      <c r="E5" s="207">
        <v>150547984</v>
      </c>
      <c r="F5" s="183">
        <f>(SUMIF(C$4:C$76,C5,E$4:E$76)-SUMIF('2019 CNESER'!C$4:C$77,C5,'2019 CNESER'!E$4:E$77))/(SUMIF('2019 CNESER'!C$4:C$77,C5,'2019 CNESER'!E$4:E$77))</f>
        <v>9.0537766576911181E-3</v>
      </c>
      <c r="G5" s="207">
        <v>164018217</v>
      </c>
      <c r="H5" s="183">
        <f>(SUMIF(C$4:C$76,C5,G$4:G$76)-SUMIF('2019 CNESER'!C$4:C$77,C5,'2019 CNESER'!F$4:F$77))/(SUMIF('2019 CNESER'!C$4:C$77,C5,'2019 CNESER'!F$4:F$77))</f>
        <v>4.8978365837493796E-3</v>
      </c>
      <c r="I5" s="136">
        <v>2082</v>
      </c>
      <c r="J5" s="137">
        <v>2081</v>
      </c>
      <c r="K5" s="183">
        <f t="shared" ref="K5:K35" si="4">(J5-I5)/I5</f>
        <v>-4.8030739673390969E-4</v>
      </c>
      <c r="L5" s="173">
        <v>32022</v>
      </c>
      <c r="M5" s="101">
        <f>(SUMIF($C$4:$C$76,$C5,$L$4:$L$76)-SUMIF('2019 CNESER'!$C$4:$C$77,'2020 CNESER'!$C5,'2019 CNESER'!$H$4:$H$77))/SUMIF('2019 CNESER'!$C$4:$C$77,'2020 CNESER'!$C5,'2019 CNESER'!$H$4:$H$77)</f>
        <v>0.13139949828640074</v>
      </c>
      <c r="N5" s="27">
        <f t="shared" si="0"/>
        <v>5122.047873337081</v>
      </c>
      <c r="O5" s="28">
        <f>J5/L5*100</f>
        <v>6.4986571731934299</v>
      </c>
      <c r="P5" s="112">
        <f t="shared" si="1"/>
        <v>-1</v>
      </c>
      <c r="Q5" s="76">
        <f t="shared" si="2"/>
        <v>72344.057664584339</v>
      </c>
      <c r="R5" s="96">
        <f t="shared" si="3"/>
        <v>0.91787355547219485</v>
      </c>
    </row>
    <row r="6" spans="1:21">
      <c r="A6" s="31" t="s">
        <v>197</v>
      </c>
      <c r="B6" s="26" t="s">
        <v>4</v>
      </c>
      <c r="C6" s="135" t="s">
        <v>54</v>
      </c>
      <c r="D6" s="135" t="s">
        <v>54</v>
      </c>
      <c r="E6" s="207">
        <v>165235029</v>
      </c>
      <c r="F6" s="183">
        <f>(SUMIF(C$4:C$76,C6,E$4:E$76)-SUMIF('2019 CNESER'!C$4:C$77,C6,'2019 CNESER'!E$4:E$77))/(SUMIF('2019 CNESER'!C$4:C$77,C6,'2019 CNESER'!E$4:E$77))</f>
        <v>6.2223240572908487E-3</v>
      </c>
      <c r="G6" s="207">
        <v>182109408</v>
      </c>
      <c r="H6" s="183">
        <f>(SUMIF(C$4:C$76,C6,G$4:G$76)-SUMIF('2019 CNESER'!C$4:C$77,C6,'2019 CNESER'!F$4:F$77))/(SUMIF('2019 CNESER'!C$4:C$77,C6,'2019 CNESER'!F$4:F$77))</f>
        <v>2.7516097998493902E-3</v>
      </c>
      <c r="I6" s="136">
        <v>2356</v>
      </c>
      <c r="J6" s="137">
        <v>2355</v>
      </c>
      <c r="K6" s="183">
        <f t="shared" si="4"/>
        <v>-4.2444821731748726E-4</v>
      </c>
      <c r="L6" s="173">
        <v>32992</v>
      </c>
      <c r="M6" s="101">
        <f>(SUMIF($C$4:$C$76,$C6,$L$4:$L$76)-SUMIF('2019 CNESER'!$C$4:$C$77,'2020 CNESER'!$C6,'2019 CNESER'!$H$4:$H$77))/SUMIF('2019 CNESER'!$C$4:$C$77,'2020 CNESER'!$C6,'2019 CNESER'!$H$4:$H$77)</f>
        <v>0.10670557847774312</v>
      </c>
      <c r="N6" s="27">
        <f t="shared" si="0"/>
        <v>5519.8050436469448</v>
      </c>
      <c r="O6" s="28">
        <f>I6/L6*100</f>
        <v>7.1411251212415134</v>
      </c>
      <c r="P6" s="112">
        <f t="shared" si="1"/>
        <v>-1</v>
      </c>
      <c r="Q6" s="76">
        <f t="shared" si="2"/>
        <v>70163.494267515925</v>
      </c>
      <c r="R6" s="96">
        <f t="shared" si="3"/>
        <v>0.90733933416553636</v>
      </c>
    </row>
    <row r="7" spans="1:21">
      <c r="A7" s="25" t="s">
        <v>197</v>
      </c>
      <c r="B7" s="26" t="s">
        <v>6</v>
      </c>
      <c r="C7" s="135" t="s">
        <v>169</v>
      </c>
      <c r="D7" s="135" t="s">
        <v>252</v>
      </c>
      <c r="E7" s="207">
        <v>181694762</v>
      </c>
      <c r="F7" s="183">
        <f>(SUMIF(C$4:C$76,C7,E$4:E$76)-SUMIF('2019 CNESER'!C$4:C$77,C7,'2019 CNESER'!E$4:E$77))/(SUMIF('2019 CNESER'!C$4:C$77,C7,'2019 CNESER'!E$4:E$77))</f>
        <v>2.1914471178267718E-2</v>
      </c>
      <c r="G7" s="207">
        <v>201127576</v>
      </c>
      <c r="H7" s="183">
        <f>(SUMIF(C$4:C$76,C7,G$4:G$76)-SUMIF('2019 CNESER'!C$4:C$77,C7,'2019 CNESER'!F$4:F$77))/(SUMIF('2019 CNESER'!C$4:C$77,C7,'2019 CNESER'!F$4:F$77))</f>
        <v>1.3693458629296952E-2</v>
      </c>
      <c r="I7" s="136">
        <v>2529</v>
      </c>
      <c r="J7" s="137">
        <v>2584</v>
      </c>
      <c r="K7" s="183">
        <f t="shared" si="4"/>
        <v>2.1747726374060895E-2</v>
      </c>
      <c r="L7" s="173">
        <v>35866</v>
      </c>
      <c r="M7" s="101">
        <f>(SUMIF($C$4:$C$76,$C7,$L$4:$L$76)-SUMIF('2019 CNESER'!$C$4:$C$77,'2020 CNESER'!$C7,'2019 CNESER'!$H$4:$H$77))/SUMIF('2019 CNESER'!$C$4:$C$77,'2020 CNESER'!$C7,'2019 CNESER'!$H$4:$H$77)</f>
        <v>8.4843168688182452E-2</v>
      </c>
      <c r="N7" s="27">
        <f t="shared" si="0"/>
        <v>5607.7504042826076</v>
      </c>
      <c r="O7" s="28">
        <f>J7/L7*100</f>
        <v>7.2045948809457432</v>
      </c>
      <c r="P7" s="112">
        <f t="shared" si="1"/>
        <v>55</v>
      </c>
      <c r="Q7" s="76">
        <f t="shared" si="2"/>
        <v>70315.310371517029</v>
      </c>
      <c r="R7" s="96">
        <f t="shared" si="3"/>
        <v>0.90338065825444047</v>
      </c>
    </row>
    <row r="8" spans="1:21">
      <c r="A8" s="25" t="s">
        <v>197</v>
      </c>
      <c r="B8" s="26" t="s">
        <v>27</v>
      </c>
      <c r="C8" s="135" t="s">
        <v>28</v>
      </c>
      <c r="D8" s="135" t="s">
        <v>28</v>
      </c>
      <c r="E8" s="207">
        <v>20646460</v>
      </c>
      <c r="F8" s="183">
        <f>(SUMIF(C$4:C$76,C8,E$4:E$76)-SUMIF('2019 CNESER'!C$4:C$77,C8,'2019 CNESER'!E$4:E$77))/(SUMIF('2019 CNESER'!C$4:C$77,C8,'2019 CNESER'!E$4:E$77))</f>
        <v>3.8464269999925561E-2</v>
      </c>
      <c r="G8" s="207">
        <v>22082996</v>
      </c>
      <c r="H8" s="183">
        <f>(SUMIF(C$4:C$76,C8,G$4:G$76)-SUMIF('2019 CNESER'!C$4:C$77,C8,'2019 CNESER'!F$4:F$77))/(SUMIF('2019 CNESER'!C$4:C$77,C8,'2019 CNESER'!F$4:F$77))</f>
        <v>2.5494476223133299E-2</v>
      </c>
      <c r="I8" s="135">
        <v>245</v>
      </c>
      <c r="J8" s="137">
        <v>245</v>
      </c>
      <c r="K8" s="183">
        <f t="shared" si="4"/>
        <v>0</v>
      </c>
      <c r="L8" s="173">
        <v>3802</v>
      </c>
      <c r="M8" s="101">
        <f>(SUMIF($C$4:$C$76,$C8,$L$4:$L$76)-SUMIF('2019 CNESER'!$C$4:$C$77,'2020 CNESER'!$C8,'2019 CNESER'!$H$4:$H$77))/SUMIF('2019 CNESER'!$C$4:$C$77,'2020 CNESER'!$C8,'2019 CNESER'!$H$4:$H$77)</f>
        <v>5.5817828381005276E-2</v>
      </c>
      <c r="N8" s="27">
        <f t="shared" si="0"/>
        <v>5808.2577590741712</v>
      </c>
      <c r="O8" s="28">
        <f>J8/L8*100</f>
        <v>6.4439768542872171</v>
      </c>
      <c r="P8" s="112">
        <f t="shared" si="1"/>
        <v>0</v>
      </c>
      <c r="Q8" s="76">
        <f t="shared" si="2"/>
        <v>84271.265306122456</v>
      </c>
      <c r="R8" s="96">
        <f t="shared" si="3"/>
        <v>0.93494831951244295</v>
      </c>
    </row>
    <row r="9" spans="1:21">
      <c r="A9" s="31" t="s">
        <v>197</v>
      </c>
      <c r="B9" s="26" t="s">
        <v>18</v>
      </c>
      <c r="C9" s="135" t="s">
        <v>55</v>
      </c>
      <c r="D9" s="135" t="s">
        <v>243</v>
      </c>
      <c r="E9" s="207">
        <v>100259132</v>
      </c>
      <c r="F9" s="183">
        <f>(SUMIF(C$4:C$76,C9,E$4:E$76)-SUMIF('2019 CNESER'!C$4:C$77,C9,'2019 CNESER'!E$4:E$77))/(SUMIF('2019 CNESER'!C$4:C$77,C9,'2019 CNESER'!E$4:E$77))</f>
        <v>8.8306855826573404E-3</v>
      </c>
      <c r="G9" s="207">
        <v>107946458</v>
      </c>
      <c r="H9" s="183">
        <f>(SUMIF(C$4:C$76,C9,G$4:G$76)-SUMIF('2019 CNESER'!C$4:C$77,C9,'2019 CNESER'!F$4:F$77))/(SUMIF('2019 CNESER'!C$4:C$77,C9,'2019 CNESER'!F$4:F$77))</f>
        <v>3.7132378545550876E-3</v>
      </c>
      <c r="I9" s="136">
        <v>1376</v>
      </c>
      <c r="J9" s="137">
        <v>1375</v>
      </c>
      <c r="K9" s="183">
        <f t="shared" si="4"/>
        <v>-7.2674418604651162E-4</v>
      </c>
      <c r="L9" s="173">
        <v>18252</v>
      </c>
      <c r="M9" s="101">
        <f>(SUMIF($C$4:$C$76,$C9,$L$4:$L$76)-SUMIF('2019 CNESER'!$C$4:$C$77,'2020 CNESER'!$C9,'2019 CNESER'!$H$4:$H$77))/SUMIF('2019 CNESER'!$C$4:$C$77,'2020 CNESER'!$C9,'2019 CNESER'!$H$4:$H$77)</f>
        <v>-1.8393030009680542E-2</v>
      </c>
      <c r="N9" s="27">
        <f t="shared" si="0"/>
        <v>5914.2262765724308</v>
      </c>
      <c r="O9" s="28">
        <f>I9/L9*100</f>
        <v>7.5388998465921535</v>
      </c>
      <c r="P9" s="112">
        <f t="shared" si="1"/>
        <v>-1</v>
      </c>
      <c r="Q9" s="76">
        <f t="shared" si="2"/>
        <v>72915.732363636358</v>
      </c>
      <c r="R9" s="96">
        <f t="shared" si="3"/>
        <v>0.928785750431941</v>
      </c>
    </row>
    <row r="10" spans="1:21">
      <c r="A10" s="25" t="s">
        <v>197</v>
      </c>
      <c r="B10" s="26" t="s">
        <v>6</v>
      </c>
      <c r="C10" s="135" t="s">
        <v>371</v>
      </c>
      <c r="D10" s="135" t="s">
        <v>253</v>
      </c>
      <c r="E10" s="207">
        <v>180440214</v>
      </c>
      <c r="F10" s="183">
        <f>(SUMIF(C$4:C$76,C10,E$4:E$76)-SUMIF('2019 CNESER'!C$4:C$77,C10,'2019 CNESER'!E$4:E$77))/(SUMIF('2019 CNESER'!C$4:C$77,C10,'2019 CNESER'!E$4:E$77))</f>
        <v>4.8044427737811563E-2</v>
      </c>
      <c r="G10" s="207">
        <v>197617477</v>
      </c>
      <c r="H10" s="183">
        <f>(SUMIF(C$4:C$76,C10,G$4:G$76)-SUMIF('2019 CNESER'!C$4:C$77,C10,'2019 CNESER'!F$4:F$77))/(SUMIF('2019 CNESER'!C$4:C$77,C10,'2019 CNESER'!F$4:F$77))</f>
        <v>3.7762120858704139E-2</v>
      </c>
      <c r="I10" s="136">
        <v>2368</v>
      </c>
      <c r="J10" s="137">
        <v>2558</v>
      </c>
      <c r="K10" s="183">
        <f t="shared" si="4"/>
        <v>8.0236486486486486E-2</v>
      </c>
      <c r="L10" s="173">
        <v>32439</v>
      </c>
      <c r="M10" s="101">
        <f>(SUMIF($C$4:$C$76,$C10,$L$4:$L$76)-SUMIF('2019 CNESER'!$C$4:$C$77,'2020 CNESER'!$C10,'2019 CNESER'!$H$4:$H$77))/SUMIF('2019 CNESER'!$C$4:$C$77,'2020 CNESER'!$C10,'2019 CNESER'!$H$4:$H$77)</f>
        <v>0.30339922854387658</v>
      </c>
      <c r="N10" s="27">
        <f t="shared" si="0"/>
        <v>6091.9719165202378</v>
      </c>
      <c r="O10" s="28">
        <f>I10/L10*100</f>
        <v>7.2998551126730176</v>
      </c>
      <c r="P10" s="112">
        <f t="shared" si="1"/>
        <v>190</v>
      </c>
      <c r="Q10" s="76">
        <f t="shared" si="2"/>
        <v>70539.567630961683</v>
      </c>
      <c r="R10" s="96">
        <f t="shared" si="3"/>
        <v>0.91307821929130284</v>
      </c>
    </row>
    <row r="11" spans="1:21">
      <c r="A11" s="25" t="s">
        <v>197</v>
      </c>
      <c r="B11" s="26" t="s">
        <v>33</v>
      </c>
      <c r="C11" s="135" t="s">
        <v>34</v>
      </c>
      <c r="D11" s="135" t="s">
        <v>34</v>
      </c>
      <c r="E11" s="207">
        <v>412665187</v>
      </c>
      <c r="F11" s="183">
        <f>(SUMIF(C$4:C$76,C11,E$4:E$76)-SUMIF('2019 CNESER'!C$4:C$77,C11,'2019 CNESER'!E$4:E$77))/(SUMIF('2019 CNESER'!C$4:C$77,C11,'2019 CNESER'!E$4:E$77))</f>
        <v>5.1991914203924489E-3</v>
      </c>
      <c r="G11" s="207">
        <v>449570322</v>
      </c>
      <c r="H11" s="183">
        <f>(SUMIF(C$4:C$76,C11,G$4:G$76)-SUMIF('2019 CNESER'!C$4:C$77,C11,'2019 CNESER'!F$4:F$77))/(SUMIF('2019 CNESER'!C$4:C$77,C11,'2019 CNESER'!F$4:F$77))</f>
        <v>1.7855555180702981E-3</v>
      </c>
      <c r="I11" s="136">
        <v>5843</v>
      </c>
      <c r="J11" s="137">
        <v>6242</v>
      </c>
      <c r="K11" s="183">
        <f t="shared" si="4"/>
        <v>6.828683895259284E-2</v>
      </c>
      <c r="L11" s="173">
        <v>72803</v>
      </c>
      <c r="M11" s="101">
        <f>(SUMIF($C$4:$C$76,$C11,$L$4:$L$76)-SUMIF('2019 CNESER'!$C$4:$C$77,'2020 CNESER'!$C11,'2019 CNESER'!$H$4:$H$77))/SUMIF('2019 CNESER'!$C$4:$C$77,'2020 CNESER'!$C11,'2019 CNESER'!$H$4:$H$77)</f>
        <v>0.10767428414934729</v>
      </c>
      <c r="N11" s="27">
        <f t="shared" si="0"/>
        <v>6175.1620400258234</v>
      </c>
      <c r="O11" s="28">
        <f>J11/L11*100</f>
        <v>8.5738225073142598</v>
      </c>
      <c r="P11" s="112">
        <f t="shared" si="1"/>
        <v>399</v>
      </c>
      <c r="Q11" s="76">
        <f t="shared" si="2"/>
        <v>66111.052066645309</v>
      </c>
      <c r="R11" s="96">
        <f t="shared" si="3"/>
        <v>0.917910206270244</v>
      </c>
    </row>
    <row r="12" spans="1:21">
      <c r="A12" s="25" t="s">
        <v>197</v>
      </c>
      <c r="B12" s="26" t="s">
        <v>6</v>
      </c>
      <c r="C12" s="135" t="s">
        <v>15</v>
      </c>
      <c r="D12" s="135" t="s">
        <v>246</v>
      </c>
      <c r="E12" s="207">
        <v>136464903</v>
      </c>
      <c r="F12" s="183">
        <f>(SUMIF(C$4:C$76,C12,E$4:E$76)-SUMIF('2019 CNESER'!C$4:C$77,C12,'2019 CNESER'!E$4:E$77))/(SUMIF('2019 CNESER'!C$4:C$77,C12,'2019 CNESER'!E$4:E$77))</f>
        <v>9.0626631945490681E-3</v>
      </c>
      <c r="G12" s="207">
        <v>150957584</v>
      </c>
      <c r="H12" s="183">
        <f>(SUMIF(C$4:C$76,C12,G$4:G$76)-SUMIF('2019 CNESER'!C$4:C$77,C12,'2019 CNESER'!F$4:F$77))/(SUMIF('2019 CNESER'!C$4:C$77,C12,'2019 CNESER'!F$4:F$77))</f>
        <v>5.7119704611217877E-3</v>
      </c>
      <c r="I12" s="136">
        <v>1925</v>
      </c>
      <c r="J12" s="137">
        <v>1938</v>
      </c>
      <c r="K12" s="183">
        <f t="shared" si="4"/>
        <v>6.7532467532467532E-3</v>
      </c>
      <c r="L12" s="173">
        <v>24270</v>
      </c>
      <c r="M12" s="101">
        <f>(SUMIF($C$4:$C$76,$C12,$L$4:$L$76)-SUMIF('2019 CNESER'!$C$4:$C$77,'2020 CNESER'!$C12,'2019 CNESER'!$H$4:$H$77))/SUMIF('2019 CNESER'!$C$4:$C$77,'2020 CNESER'!$C12,'2019 CNESER'!$H$4:$H$77)</f>
        <v>6.4193633254406732E-2</v>
      </c>
      <c r="N12" s="27">
        <f t="shared" si="0"/>
        <v>6219.9251751133088</v>
      </c>
      <c r="O12" s="28">
        <f>I12/L12*100</f>
        <v>7.9316028018129385</v>
      </c>
      <c r="P12" s="112">
        <f t="shared" si="1"/>
        <v>13</v>
      </c>
      <c r="Q12" s="76">
        <f t="shared" si="2"/>
        <v>70415.326625386995</v>
      </c>
      <c r="R12" s="96">
        <f t="shared" si="3"/>
        <v>0.90399501226781687</v>
      </c>
    </row>
    <row r="13" spans="1:21">
      <c r="A13" s="25" t="s">
        <v>197</v>
      </c>
      <c r="B13" s="26" t="s">
        <v>6</v>
      </c>
      <c r="C13" s="135" t="s">
        <v>43</v>
      </c>
      <c r="D13" s="135" t="s">
        <v>43</v>
      </c>
      <c r="E13" s="207">
        <v>227191997</v>
      </c>
      <c r="F13" s="183">
        <f>(SUMIF(C$4:C$76,C13,E$4:E$76)-SUMIF('2019 CNESER'!C$4:C$77,C13,'2019 CNESER'!E$4:E$77))/(SUMIF('2019 CNESER'!C$4:C$77,C13,'2019 CNESER'!E$4:E$77))</f>
        <v>6.6954651973783275E-3</v>
      </c>
      <c r="G13" s="207">
        <v>250542482</v>
      </c>
      <c r="H13" s="183">
        <f>(SUMIF(C$4:C$76,C13,G$4:G$76)-SUMIF('2019 CNESER'!C$4:C$77,C13,'2019 CNESER'!F$4:F$77))/(SUMIF('2019 CNESER'!C$4:C$77,C13,'2019 CNESER'!F$4:F$77))</f>
        <v>4.5690720039701857E-3</v>
      </c>
      <c r="I13" s="136">
        <v>3320</v>
      </c>
      <c r="J13" s="137">
        <v>3345</v>
      </c>
      <c r="K13" s="183">
        <f t="shared" si="4"/>
        <v>7.5301204819277108E-3</v>
      </c>
      <c r="L13" s="173">
        <v>40274</v>
      </c>
      <c r="M13" s="101">
        <f>(SUMIF($C$4:$C$76,$C13,$L$4:$L$76)-SUMIF('2019 CNESER'!$C$4:$C$77,'2020 CNESER'!$C13,'2019 CNESER'!$H$4:$H$77))/SUMIF('2019 CNESER'!$C$4:$C$77,'2020 CNESER'!$C13,'2019 CNESER'!$H$4:$H$77)</f>
        <v>2.7319337805780171E-2</v>
      </c>
      <c r="N13" s="27">
        <f t="shared" si="0"/>
        <v>6220.9485524159509</v>
      </c>
      <c r="O13" s="28">
        <f>I13/L13*100</f>
        <v>8.2435318071212205</v>
      </c>
      <c r="P13" s="112">
        <f t="shared" si="1"/>
        <v>25</v>
      </c>
      <c r="Q13" s="76">
        <f t="shared" si="2"/>
        <v>67919.879521674142</v>
      </c>
      <c r="R13" s="96">
        <f t="shared" si="3"/>
        <v>0.90680029664589978</v>
      </c>
    </row>
    <row r="14" spans="1:21">
      <c r="A14" s="25" t="s">
        <v>197</v>
      </c>
      <c r="B14" s="26" t="s">
        <v>40</v>
      </c>
      <c r="C14" s="135" t="s">
        <v>41</v>
      </c>
      <c r="D14" s="135" t="s">
        <v>41</v>
      </c>
      <c r="E14" s="207">
        <v>271470077</v>
      </c>
      <c r="F14" s="183">
        <f>(SUMIF(C$4:C$76,C14,E$4:E$76)-SUMIF('2019 CNESER'!C$4:C$77,C14,'2019 CNESER'!E$4:E$77))/(SUMIF('2019 CNESER'!C$4:C$77,C14,'2019 CNESER'!E$4:E$77))</f>
        <v>4.0839987134028508E-3</v>
      </c>
      <c r="G14" s="207">
        <v>297212816</v>
      </c>
      <c r="H14" s="183">
        <f>(SUMIF(C$4:C$76,C14,G$4:G$76)-SUMIF('2019 CNESER'!C$4:C$77,C14,'2019 CNESER'!F$4:F$77))/(SUMIF('2019 CNESER'!C$4:C$77,C14,'2019 CNESER'!F$4:F$77))</f>
        <v>6.545419298174468E-4</v>
      </c>
      <c r="I14" s="136">
        <v>4022</v>
      </c>
      <c r="J14" s="137">
        <v>4016</v>
      </c>
      <c r="K14" s="183">
        <f t="shared" si="4"/>
        <v>-1.4917951268025858E-3</v>
      </c>
      <c r="L14" s="173">
        <v>47731</v>
      </c>
      <c r="M14" s="101">
        <f>(SUMIF($C$4:$C$76,$C14,$L$4:$L$76)-SUMIF('2019 CNESER'!$C$4:$C$77,'2020 CNESER'!$C14,'2019 CNESER'!$H$4:$H$77))/SUMIF('2019 CNESER'!$C$4:$C$77,'2020 CNESER'!$C14,'2019 CNESER'!$H$4:$H$77)</f>
        <v>0.15546249001428261</v>
      </c>
      <c r="N14" s="27">
        <f t="shared" si="0"/>
        <v>6226.8298590014874</v>
      </c>
      <c r="O14" s="28">
        <f>I14/L14*100</f>
        <v>8.4263895581487915</v>
      </c>
      <c r="P14" s="112">
        <f t="shared" si="1"/>
        <v>-6</v>
      </c>
      <c r="Q14" s="76">
        <f t="shared" si="2"/>
        <v>67597.13072709163</v>
      </c>
      <c r="R14" s="96">
        <f t="shared" si="3"/>
        <v>0.91338617443737691</v>
      </c>
    </row>
    <row r="15" spans="1:21">
      <c r="A15" s="25" t="s">
        <v>197</v>
      </c>
      <c r="B15" s="26" t="s">
        <v>4</v>
      </c>
      <c r="C15" s="135" t="s">
        <v>17</v>
      </c>
      <c r="D15" s="135" t="s">
        <v>17</v>
      </c>
      <c r="E15" s="207">
        <v>174696635</v>
      </c>
      <c r="F15" s="183">
        <f>(SUMIF(C$4:C$76,C15,E$4:E$76)-SUMIF('2019 CNESER'!C$4:C$77,C15,'2019 CNESER'!E$4:E$77))/(SUMIF('2019 CNESER'!C$4:C$77,C15,'2019 CNESER'!E$4:E$77))</f>
        <v>3.7776840696263948E-3</v>
      </c>
      <c r="G15" s="207">
        <v>190386783</v>
      </c>
      <c r="H15" s="183">
        <f>(SUMIF(C$4:C$76,C15,G$4:G$76)-SUMIF('2019 CNESER'!C$4:C$77,C15,'2019 CNESER'!F$4:F$77))/(SUMIF('2019 CNESER'!C$4:C$77,C15,'2019 CNESER'!F$4:F$77))</f>
        <v>-4.6187849034668594E-3</v>
      </c>
      <c r="I15" s="136">
        <v>2488</v>
      </c>
      <c r="J15" s="137">
        <v>2487</v>
      </c>
      <c r="K15" s="183">
        <f t="shared" si="4"/>
        <v>-4.0192926045016077E-4</v>
      </c>
      <c r="L15" s="173">
        <v>30556</v>
      </c>
      <c r="M15" s="101">
        <f>(SUMIF($C$4:$C$76,$C15,$L$4:$L$76)-SUMIF('2019 CNESER'!$C$4:$C$77,'2020 CNESER'!$C15,'2019 CNESER'!$H$4:$H$77))/SUMIF('2019 CNESER'!$C$4:$C$77,'2020 CNESER'!$C15,'2019 CNESER'!$H$4:$H$77)</f>
        <v>8.5895021145030032E-2</v>
      </c>
      <c r="N15" s="27">
        <f t="shared" si="0"/>
        <v>6230.7495418248463</v>
      </c>
      <c r="O15" s="28">
        <f>J15/L15*100</f>
        <v>8.1391543395732437</v>
      </c>
      <c r="P15" s="112">
        <f t="shared" si="1"/>
        <v>-1</v>
      </c>
      <c r="Q15" s="76">
        <f t="shared" si="2"/>
        <v>70243.922396461596</v>
      </c>
      <c r="R15" s="96">
        <f t="shared" si="3"/>
        <v>0.91758803971176928</v>
      </c>
    </row>
    <row r="16" spans="1:21">
      <c r="A16" s="25" t="s">
        <v>197</v>
      </c>
      <c r="B16" s="26" t="s">
        <v>6</v>
      </c>
      <c r="C16" s="135" t="s">
        <v>170</v>
      </c>
      <c r="D16" s="135" t="s">
        <v>247</v>
      </c>
      <c r="E16" s="207">
        <v>254753038</v>
      </c>
      <c r="F16" s="183">
        <f>(SUMIF(C$4:C$76,C16,E$4:E$76)-SUMIF('2019 CNESER'!C$4:C$77,C16,'2019 CNESER'!E$4:E$77))/(SUMIF('2019 CNESER'!C$4:C$77,C16,'2019 CNESER'!E$4:E$77))</f>
        <v>4.8040736870620373E-3</v>
      </c>
      <c r="G16" s="207">
        <v>285498721</v>
      </c>
      <c r="H16" s="183">
        <f>(SUMIF(C$4:C$76,C16,G$4:G$76)-SUMIF('2019 CNESER'!C$4:C$77,C16,'2019 CNESER'!F$4:F$77))/(SUMIF('2019 CNESER'!C$4:C$77,C16,'2019 CNESER'!F$4:F$77))</f>
        <v>2.6524860135234089E-3</v>
      </c>
      <c r="I16" s="136">
        <v>3959</v>
      </c>
      <c r="J16" s="137">
        <v>4001</v>
      </c>
      <c r="K16" s="183">
        <f t="shared" si="4"/>
        <v>1.0608739580702197E-2</v>
      </c>
      <c r="L16" s="173">
        <v>45706</v>
      </c>
      <c r="M16" s="101">
        <f>(SUMIF($C$4:$C$76,$C16,$L$4:$L$76)-SUMIF('2019 CNESER'!$C$4:$C$77,'2020 CNESER'!$C16,'2019 CNESER'!$H$4:$H$77))/SUMIF('2019 CNESER'!$C$4:$C$77,'2020 CNESER'!$C16,'2019 CNESER'!$H$4:$H$77)</f>
        <v>0.35009156968157384</v>
      </c>
      <c r="N16" s="27">
        <f t="shared" si="0"/>
        <v>6246.4166848991381</v>
      </c>
      <c r="O16" s="28">
        <f>I16/L16*100</f>
        <v>8.6618824661969978</v>
      </c>
      <c r="P16" s="112">
        <f t="shared" si="1"/>
        <v>42</v>
      </c>
      <c r="Q16" s="76">
        <f t="shared" si="2"/>
        <v>63672.34141464634</v>
      </c>
      <c r="R16" s="96">
        <f t="shared" si="3"/>
        <v>0.89230885906490631</v>
      </c>
    </row>
    <row r="17" spans="1:18">
      <c r="A17" s="25" t="s">
        <v>197</v>
      </c>
      <c r="B17" s="26" t="s">
        <v>6</v>
      </c>
      <c r="C17" s="135" t="s">
        <v>23</v>
      </c>
      <c r="D17" s="135" t="s">
        <v>23</v>
      </c>
      <c r="E17" s="207">
        <v>178248043</v>
      </c>
      <c r="F17" s="183">
        <f>(SUMIF(C$4:C$76,C17,E$4:E$76)-SUMIF('2019 CNESER'!C$4:C$77,C17,'2019 CNESER'!E$4:E$77))/(SUMIF('2019 CNESER'!C$4:C$77,C17,'2019 CNESER'!E$4:E$77))</f>
        <v>7.0800282995702353E-3</v>
      </c>
      <c r="G17" s="207">
        <v>196931002</v>
      </c>
      <c r="H17" s="183">
        <f>(SUMIF(C$4:C$76,C17,G$4:G$76)-SUMIF('2019 CNESER'!C$4:C$77,C17,'2019 CNESER'!F$4:F$77))/(SUMIF('2019 CNESER'!C$4:C$77,C17,'2019 CNESER'!F$4:F$77))</f>
        <v>-1.323770479395469E-3</v>
      </c>
      <c r="I17" s="136">
        <v>2555</v>
      </c>
      <c r="J17" s="137">
        <v>2554</v>
      </c>
      <c r="K17" s="183">
        <f t="shared" si="4"/>
        <v>-3.9138943248532291E-4</v>
      </c>
      <c r="L17" s="173">
        <v>31307</v>
      </c>
      <c r="M17" s="101">
        <f>(SUMIF($C$4:$C$76,$C17,$L$4:$L$76)-SUMIF('2019 CNESER'!$C$4:$C$77,'2020 CNESER'!$C17,'2019 CNESER'!$H$4:$H$77))/SUMIF('2019 CNESER'!$C$4:$C$77,'2020 CNESER'!$C17,'2019 CNESER'!$H$4:$H$77)</f>
        <v>9.8067412577601626E-2</v>
      </c>
      <c r="N17" s="27">
        <f t="shared" si="0"/>
        <v>6290.3185230140225</v>
      </c>
      <c r="O17" s="28">
        <f>J17/L17*100</f>
        <v>8.157919954003896</v>
      </c>
      <c r="P17" s="112">
        <f t="shared" si="1"/>
        <v>-1</v>
      </c>
      <c r="Q17" s="76">
        <f t="shared" si="2"/>
        <v>69791.716131558336</v>
      </c>
      <c r="R17" s="96">
        <f t="shared" si="3"/>
        <v>0.90512941685027326</v>
      </c>
    </row>
    <row r="18" spans="1:18">
      <c r="A18" s="25" t="s">
        <v>197</v>
      </c>
      <c r="B18" s="26" t="s">
        <v>25</v>
      </c>
      <c r="C18" s="135" t="s">
        <v>26</v>
      </c>
      <c r="D18" s="135" t="s">
        <v>248</v>
      </c>
      <c r="E18" s="207">
        <v>328658199</v>
      </c>
      <c r="F18" s="183">
        <f>(SUMIF(C$4:C$76,C18,E$4:E$76)-SUMIF('2019 CNESER'!C$4:C$77,C18,'2019 CNESER'!E$4:E$77))/(SUMIF('2019 CNESER'!C$4:C$77,C18,'2019 CNESER'!E$4:E$77))</f>
        <v>6.4787655917708945E-3</v>
      </c>
      <c r="G18" s="207">
        <v>363935374</v>
      </c>
      <c r="H18" s="183">
        <f>(SUMIF(C$4:C$76,C18,G$4:G$76)-SUMIF('2019 CNESER'!C$4:C$77,C18,'2019 CNESER'!F$4:F$77))/(SUMIF('2019 CNESER'!C$4:C$77,C18,'2019 CNESER'!F$4:F$77))</f>
        <v>9.0871513130361004E-3</v>
      </c>
      <c r="I18" s="136">
        <v>4694</v>
      </c>
      <c r="J18" s="137">
        <v>4718</v>
      </c>
      <c r="K18" s="183">
        <f t="shared" si="4"/>
        <v>5.1129100979974435E-3</v>
      </c>
      <c r="L18" s="173">
        <v>57467</v>
      </c>
      <c r="M18" s="101">
        <f>(SUMIF($C$4:$C$76,$C18,$L$4:$L$76)-SUMIF('2019 CNESER'!$C$4:$C$77,'2020 CNESER'!$C18,'2019 CNESER'!$H$4:$H$77))/SUMIF('2019 CNESER'!$C$4:$C$77,'2020 CNESER'!$C18,'2019 CNESER'!$H$4:$H$77)</f>
        <v>0.33990067383245121</v>
      </c>
      <c r="N18" s="27">
        <f t="shared" si="0"/>
        <v>6332.9454121495819</v>
      </c>
      <c r="O18" s="28">
        <f>J18/L18*100</f>
        <v>8.2099291767449145</v>
      </c>
      <c r="P18" s="112">
        <f t="shared" si="1"/>
        <v>24</v>
      </c>
      <c r="Q18" s="76">
        <f t="shared" si="2"/>
        <v>69660.491521831282</v>
      </c>
      <c r="R18" s="96">
        <f t="shared" si="3"/>
        <v>0.90306747428184875</v>
      </c>
    </row>
    <row r="19" spans="1:18">
      <c r="A19" s="25" t="s">
        <v>197</v>
      </c>
      <c r="B19" s="26" t="s">
        <v>18</v>
      </c>
      <c r="C19" s="135" t="s">
        <v>57</v>
      </c>
      <c r="D19" s="135" t="s">
        <v>57</v>
      </c>
      <c r="E19" s="207">
        <v>309437049</v>
      </c>
      <c r="F19" s="183">
        <f>(SUMIF(C$4:C$76,C19,E$4:E$76)-SUMIF('2019 CNESER'!C$4:C$77,C19,'2019 CNESER'!E$4:E$77))/(SUMIF('2019 CNESER'!C$4:C$77,C19,'2019 CNESER'!E$4:E$77))</f>
        <v>3.5014765320506734E-3</v>
      </c>
      <c r="G19" s="207">
        <v>340417028</v>
      </c>
      <c r="H19" s="183">
        <f>(SUMIF(C$4:C$76,C19,G$4:G$76)-SUMIF('2019 CNESER'!C$4:C$77,C19,'2019 CNESER'!F$4:F$77))/(SUMIF('2019 CNESER'!C$4:C$77,C19,'2019 CNESER'!F$4:F$77))</f>
        <v>-1.0117595429865631E-3</v>
      </c>
      <c r="I19" s="136">
        <v>4609</v>
      </c>
      <c r="J19" s="137">
        <v>4599</v>
      </c>
      <c r="K19" s="183">
        <f t="shared" si="4"/>
        <v>-2.1696680407897592E-3</v>
      </c>
      <c r="L19" s="173">
        <v>53453</v>
      </c>
      <c r="M19" s="101">
        <f>(SUMIF($C$4:$C$76,$C19,$L$4:$L$76)-SUMIF('2019 CNESER'!$C$4:$C$77,'2020 CNESER'!$C19,'2019 CNESER'!$H$4:$H$77))/SUMIF('2019 CNESER'!$C$4:$C$77,'2020 CNESER'!$C19,'2019 CNESER'!$H$4:$H$77)</f>
        <v>5.9545283355467896E-2</v>
      </c>
      <c r="N19" s="27">
        <f t="shared" si="0"/>
        <v>6368.5298860681351</v>
      </c>
      <c r="O19" s="28">
        <f>I19/L19*100</f>
        <v>8.6225282023459862</v>
      </c>
      <c r="P19" s="112">
        <f t="shared" si="1"/>
        <v>-10</v>
      </c>
      <c r="Q19" s="76">
        <f t="shared" si="2"/>
        <v>67283.550554468369</v>
      </c>
      <c r="R19" s="96">
        <f t="shared" si="3"/>
        <v>0.90899403833582615</v>
      </c>
    </row>
    <row r="20" spans="1:18">
      <c r="A20" s="25" t="s">
        <v>197</v>
      </c>
      <c r="B20" s="26" t="s">
        <v>13</v>
      </c>
      <c r="C20" s="135" t="s">
        <v>14</v>
      </c>
      <c r="D20" s="135" t="s">
        <v>14</v>
      </c>
      <c r="E20" s="207">
        <v>304142231</v>
      </c>
      <c r="F20" s="183">
        <f>(SUMIF(C$4:C$76,C20,E$4:E$76)-SUMIF('2019 CNESER'!C$4:C$77,C20,'2019 CNESER'!E$4:E$77))/(SUMIF('2019 CNESER'!C$4:C$77,C20,'2019 CNESER'!E$4:E$77))</f>
        <v>2.2580166377432955E-3</v>
      </c>
      <c r="G20" s="207">
        <v>336491083</v>
      </c>
      <c r="H20" s="183">
        <f>(SUMIF(C$4:C$76,C20,G$4:G$76)-SUMIF('2019 CNESER'!C$4:C$77,C20,'2019 CNESER'!F$4:F$77))/(SUMIF('2019 CNESER'!C$4:C$77,C20,'2019 CNESER'!F$4:F$77))</f>
        <v>-1.3072833417190129E-3</v>
      </c>
      <c r="I20" s="136">
        <v>4468</v>
      </c>
      <c r="J20" s="137">
        <v>4474</v>
      </c>
      <c r="K20" s="183">
        <f t="shared" si="4"/>
        <v>1.3428827215756492E-3</v>
      </c>
      <c r="L20" s="173">
        <v>52711</v>
      </c>
      <c r="M20" s="101">
        <f>(SUMIF($C$4:$C$76,$C20,$L$4:$L$76)-SUMIF('2019 CNESER'!$C$4:$C$77,'2020 CNESER'!$C20,'2019 CNESER'!$H$4:$H$77))/SUMIF('2019 CNESER'!$C$4:$C$77,'2020 CNESER'!$C20,'2019 CNESER'!$H$4:$H$77)</f>
        <v>6.9492350768981054E-2</v>
      </c>
      <c r="N20" s="27">
        <f t="shared" si="0"/>
        <v>6383.6975773557706</v>
      </c>
      <c r="O20" s="28">
        <f>J20/L20*100</f>
        <v>8.487791921989718</v>
      </c>
      <c r="P20" s="112">
        <f t="shared" si="1"/>
        <v>6</v>
      </c>
      <c r="Q20" s="76">
        <f t="shared" si="2"/>
        <v>67979.935404559685</v>
      </c>
      <c r="R20" s="96">
        <f t="shared" si="3"/>
        <v>0.9038641627243359</v>
      </c>
    </row>
    <row r="21" spans="1:18">
      <c r="A21" s="25" t="s">
        <v>197</v>
      </c>
      <c r="B21" s="26" t="s">
        <v>6</v>
      </c>
      <c r="C21" s="135" t="s">
        <v>59</v>
      </c>
      <c r="D21" s="135" t="s">
        <v>254</v>
      </c>
      <c r="E21" s="207">
        <v>149365309</v>
      </c>
      <c r="F21" s="183">
        <f>(SUMIF(C$4:C$76,C21,E$4:E$76)-SUMIF('2019 CNESER'!C$4:C$77,C21,'2019 CNESER'!E$4:E$77))/(SUMIF('2019 CNESER'!C$4:C$77,C21,'2019 CNESER'!E$4:E$77))</f>
        <v>7.5342821321117579E-3</v>
      </c>
      <c r="G21" s="207">
        <v>164613153</v>
      </c>
      <c r="H21" s="183">
        <f>(SUMIF(C$4:C$76,C21,G$4:G$76)-SUMIF('2019 CNESER'!C$4:C$77,C21,'2019 CNESER'!F$4:F$77))/(SUMIF('2019 CNESER'!C$4:C$77,C21,'2019 CNESER'!F$4:F$77))</f>
        <v>3.7311730992076182E-3</v>
      </c>
      <c r="I21" s="136">
        <v>2110</v>
      </c>
      <c r="J21" s="137">
        <v>2111</v>
      </c>
      <c r="K21" s="183">
        <f t="shared" si="4"/>
        <v>4.7393364928909954E-4</v>
      </c>
      <c r="L21" s="173">
        <v>25637</v>
      </c>
      <c r="M21" s="101">
        <f>(SUMIF($C$4:$C$76,$C21,$L$4:$L$76)-SUMIF('2019 CNESER'!$C$4:$C$77,'2020 CNESER'!$C21,'2019 CNESER'!$H$4:$H$77))/SUMIF('2019 CNESER'!$C$4:$C$77,'2020 CNESER'!$C21,'2019 CNESER'!$H$4:$H$77)</f>
        <v>1.8472906403940888E-2</v>
      </c>
      <c r="N21" s="27">
        <f t="shared" si="0"/>
        <v>6420.9210516051016</v>
      </c>
      <c r="O21" s="28">
        <f>I21/L21*100</f>
        <v>8.2302921558684705</v>
      </c>
      <c r="P21" s="112">
        <f t="shared" si="1"/>
        <v>1</v>
      </c>
      <c r="Q21" s="76">
        <f t="shared" si="2"/>
        <v>70755.71245855045</v>
      </c>
      <c r="R21" s="96">
        <f t="shared" si="3"/>
        <v>0.90737165456031332</v>
      </c>
    </row>
    <row r="22" spans="1:18">
      <c r="A22" s="25" t="s">
        <v>197</v>
      </c>
      <c r="B22" s="26" t="s">
        <v>8</v>
      </c>
      <c r="C22" s="135" t="s">
        <v>29</v>
      </c>
      <c r="D22" s="135" t="s">
        <v>29</v>
      </c>
      <c r="E22" s="207">
        <v>93625695</v>
      </c>
      <c r="F22" s="183">
        <f>(SUMIF(C$4:C$76,C22,E$4:E$76)-SUMIF('2019 CNESER'!C$4:C$77,C22,'2019 CNESER'!E$4:E$77))/(SUMIF('2019 CNESER'!C$4:C$77,C22,'2019 CNESER'!E$4:E$77))</f>
        <v>2.8530572650702284E-2</v>
      </c>
      <c r="G22" s="207">
        <v>102546687</v>
      </c>
      <c r="H22" s="183">
        <f>(SUMIF(C$4:C$76,C22,G$4:G$76)-SUMIF('2019 CNESER'!C$4:C$77,C22,'2019 CNESER'!F$4:F$77))/(SUMIF('2019 CNESER'!C$4:C$77,C22,'2019 CNESER'!F$4:F$77))</f>
        <v>1.800227668599504E-2</v>
      </c>
      <c r="I22" s="136">
        <v>1011</v>
      </c>
      <c r="J22" s="137">
        <v>1015</v>
      </c>
      <c r="K22" s="183">
        <f t="shared" si="4"/>
        <v>3.956478733926805E-3</v>
      </c>
      <c r="L22" s="173">
        <v>15924</v>
      </c>
      <c r="M22" s="101">
        <f>(SUMIF($C$4:$C$76,$C22,$L$4:$L$76)-SUMIF('2019 CNESER'!$C$4:$C$77,'2020 CNESER'!$C22,'2019 CNESER'!$H$4:$H$77))/SUMIF('2019 CNESER'!$C$4:$C$77,'2020 CNESER'!$C22,'2019 CNESER'!$H$4:$H$77)</f>
        <v>5.0881013660661258E-2</v>
      </c>
      <c r="N22" s="27">
        <f t="shared" si="0"/>
        <v>6439.7567822155233</v>
      </c>
      <c r="O22" s="28">
        <f>J22/L22*100</f>
        <v>6.374026626475759</v>
      </c>
      <c r="P22" s="112">
        <f t="shared" si="1"/>
        <v>4</v>
      </c>
      <c r="Q22" s="76">
        <f t="shared" si="2"/>
        <v>92242.06403940887</v>
      </c>
      <c r="R22" s="96">
        <f t="shared" si="3"/>
        <v>0.91300555619120094</v>
      </c>
    </row>
    <row r="23" spans="1:18">
      <c r="A23" s="25" t="s">
        <v>197</v>
      </c>
      <c r="B23" s="26" t="s">
        <v>6</v>
      </c>
      <c r="C23" s="135" t="s">
        <v>178</v>
      </c>
      <c r="D23" s="135" t="s">
        <v>34</v>
      </c>
      <c r="E23" s="207">
        <v>81073827</v>
      </c>
      <c r="F23" s="183">
        <f>(SUMIF(C$4:C$76,C23,E$4:E$76)-SUMIF('2019 CNESER'!C$4:C$77,C23,'2019 CNESER'!E$4:E$77))/(SUMIF('2019 CNESER'!C$4:C$77,C23,'2019 CNESER'!E$4:E$77))</f>
        <v>1.338778694991887E-2</v>
      </c>
      <c r="G23" s="207">
        <v>87722141</v>
      </c>
      <c r="H23" s="183">
        <f>(SUMIF(C$4:C$76,C23,G$4:G$76)-SUMIF('2019 CNESER'!C$4:C$77,C23,'2019 CNESER'!F$4:F$77))/(SUMIF('2019 CNESER'!C$4:C$77,C23,'2019 CNESER'!F$4:F$77))</f>
        <v>6.774236238583098E-3</v>
      </c>
      <c r="I23" s="136">
        <v>1178</v>
      </c>
      <c r="J23" s="137">
        <v>1145</v>
      </c>
      <c r="K23" s="183">
        <f t="shared" si="4"/>
        <v>-2.801358234295416E-2</v>
      </c>
      <c r="L23" s="173">
        <v>13394</v>
      </c>
      <c r="M23" s="101">
        <f>(SUMIF($C$4:$C$76,$C23,$L$4:$L$76)-SUMIF('2019 CNESER'!$C$4:$C$77,'2020 CNESER'!$C23,'2019 CNESER'!$H$4:$H$77))/SUMIF('2019 CNESER'!$C$4:$C$77,'2020 CNESER'!$C23,'2019 CNESER'!$H$4:$H$77)</f>
        <v>0.13817131203263086</v>
      </c>
      <c r="N23" s="27">
        <f t="shared" si="0"/>
        <v>6549.3609825294907</v>
      </c>
      <c r="O23" s="28">
        <f>J23/L23*100</f>
        <v>8.5486038524712544</v>
      </c>
      <c r="P23" s="112">
        <f t="shared" si="1"/>
        <v>-33</v>
      </c>
      <c r="Q23" s="76">
        <f t="shared" si="2"/>
        <v>70806.835807860261</v>
      </c>
      <c r="R23" s="96">
        <f t="shared" si="3"/>
        <v>0.9242116765025149</v>
      </c>
    </row>
    <row r="24" spans="1:18">
      <c r="A24" s="25" t="s">
        <v>197</v>
      </c>
      <c r="B24" s="26" t="s">
        <v>4</v>
      </c>
      <c r="C24" s="135" t="s">
        <v>51</v>
      </c>
      <c r="D24" s="135" t="s">
        <v>51</v>
      </c>
      <c r="E24" s="207">
        <v>158137135</v>
      </c>
      <c r="F24" s="183">
        <f>(SUMIF(C$4:C$76,C24,E$4:E$76)-SUMIF('2019 CNESER'!C$4:C$77,C24,'2019 CNESER'!E$4:E$77))/(SUMIF('2019 CNESER'!C$4:C$77,C24,'2019 CNESER'!E$4:E$77))</f>
        <v>2.5147384666859627E-3</v>
      </c>
      <c r="G24" s="207">
        <v>171564787</v>
      </c>
      <c r="H24" s="183">
        <f>(SUMIF(C$4:C$76,C24,G$4:G$76)-SUMIF('2019 CNESER'!C$4:C$77,C24,'2019 CNESER'!F$4:F$77))/(SUMIF('2019 CNESER'!C$4:C$77,C24,'2019 CNESER'!F$4:F$77))</f>
        <v>-5.5494566473064449E-4</v>
      </c>
      <c r="I24" s="136">
        <v>2261</v>
      </c>
      <c r="J24" s="137">
        <v>2259</v>
      </c>
      <c r="K24" s="183">
        <f t="shared" si="4"/>
        <v>-8.8456435205661217E-4</v>
      </c>
      <c r="L24" s="173">
        <v>26152</v>
      </c>
      <c r="M24" s="101">
        <f>(SUMIF($C$4:$C$76,$C24,$L$4:$L$76)-SUMIF('2019 CNESER'!$C$4:$C$77,'2020 CNESER'!$C24,'2019 CNESER'!$H$4:$H$77))/SUMIF('2019 CNESER'!$C$4:$C$77,'2020 CNESER'!$C24,'2019 CNESER'!$H$4:$H$77)</f>
        <v>0.10206489675516224</v>
      </c>
      <c r="N24" s="27">
        <f t="shared" si="0"/>
        <v>6560.2931706944019</v>
      </c>
      <c r="O24" s="28">
        <f>I24/L24*100</f>
        <v>8.6456102783725903</v>
      </c>
      <c r="P24" s="112">
        <f t="shared" si="1"/>
        <v>-2</v>
      </c>
      <c r="Q24" s="76">
        <f t="shared" si="2"/>
        <v>70003.158477202305</v>
      </c>
      <c r="R24" s="96">
        <f t="shared" si="3"/>
        <v>0.92173421927193022</v>
      </c>
    </row>
    <row r="25" spans="1:18">
      <c r="A25" s="25" t="s">
        <v>197</v>
      </c>
      <c r="B25" s="26" t="s">
        <v>6</v>
      </c>
      <c r="C25" s="135" t="s">
        <v>174</v>
      </c>
      <c r="D25" s="135" t="s">
        <v>252</v>
      </c>
      <c r="E25" s="207">
        <v>139743758</v>
      </c>
      <c r="F25" s="183">
        <f>(SUMIF(C$4:C$76,C25,E$4:E$76)-SUMIF('2019 CNESER'!C$4:C$77,C25,'2019 CNESER'!E$4:E$77))/(SUMIF('2019 CNESER'!C$4:C$77,C25,'2019 CNESER'!E$4:E$77))</f>
        <v>1.3687216672194984E-2</v>
      </c>
      <c r="G25" s="207">
        <v>151779618</v>
      </c>
      <c r="H25" s="183">
        <f>(SUMIF(C$4:C$76,C25,G$4:G$76)-SUMIF('2019 CNESER'!C$4:C$77,C25,'2019 CNESER'!F$4:F$77))/(SUMIF('2019 CNESER'!C$4:C$77,C25,'2019 CNESER'!F$4:F$77))</f>
        <v>7.3133803416306157E-3</v>
      </c>
      <c r="I25" s="136">
        <v>1985</v>
      </c>
      <c r="J25" s="137">
        <v>1982</v>
      </c>
      <c r="K25" s="183">
        <f t="shared" si="4"/>
        <v>-1.5113350125944584E-3</v>
      </c>
      <c r="L25" s="173">
        <v>23033</v>
      </c>
      <c r="M25" s="101">
        <f>(SUMIF($C$4:$C$76,$C25,$L$4:$L$76)-SUMIF('2019 CNESER'!$C$4:$C$77,'2020 CNESER'!$C25,'2019 CNESER'!$H$4:$H$77))/SUMIF('2019 CNESER'!$C$4:$C$77,'2020 CNESER'!$C25,'2019 CNESER'!$H$4:$H$77)</f>
        <v>7.8930110548997567E-2</v>
      </c>
      <c r="N25" s="27">
        <f t="shared" si="0"/>
        <v>6589.6590978161767</v>
      </c>
      <c r="O25" s="28">
        <f>J25/L25*100</f>
        <v>8.6050449355272871</v>
      </c>
      <c r="P25" s="112">
        <f t="shared" si="1"/>
        <v>-3</v>
      </c>
      <c r="Q25" s="76">
        <f t="shared" si="2"/>
        <v>70506.436932391531</v>
      </c>
      <c r="R25" s="96">
        <f t="shared" si="3"/>
        <v>0.920701737436182</v>
      </c>
    </row>
    <row r="26" spans="1:18">
      <c r="A26" s="25" t="s">
        <v>197</v>
      </c>
      <c r="B26" s="26" t="s">
        <v>20</v>
      </c>
      <c r="C26" s="135" t="s">
        <v>35</v>
      </c>
      <c r="D26" s="135" t="s">
        <v>35</v>
      </c>
      <c r="E26" s="207">
        <v>115038595</v>
      </c>
      <c r="F26" s="183">
        <f>(SUMIF(C$4:C$76,C26,E$4:E$76)-SUMIF('2019 CNESER'!C$4:C$77,C26,'2019 CNESER'!E$4:E$77))/(SUMIF('2019 CNESER'!C$4:C$77,C26,'2019 CNESER'!E$4:E$77))</f>
        <v>8.2757981412457556E-3</v>
      </c>
      <c r="G26" s="207">
        <v>125768795</v>
      </c>
      <c r="H26" s="183">
        <f>(SUMIF(C$4:C$76,C26,G$4:G$76)-SUMIF('2019 CNESER'!C$4:C$77,C26,'2019 CNESER'!F$4:F$77))/(SUMIF('2019 CNESER'!C$4:C$77,C26,'2019 CNESER'!F$4:F$77))</f>
        <v>3.6808394270998403E-3</v>
      </c>
      <c r="I26" s="136">
        <v>1616</v>
      </c>
      <c r="J26" s="137">
        <v>1614</v>
      </c>
      <c r="K26" s="183">
        <f t="shared" si="4"/>
        <v>-1.2376237623762376E-3</v>
      </c>
      <c r="L26" s="173">
        <v>18849</v>
      </c>
      <c r="M26" s="101">
        <f>(SUMIF($C$4:$C$76,$C26,$L$4:$L$76)-SUMIF('2019 CNESER'!$C$4:$C$77,'2020 CNESER'!$C26,'2019 CNESER'!$H$4:$H$77))/SUMIF('2019 CNESER'!$C$4:$C$77,'2020 CNESER'!$C26,'2019 CNESER'!$H$4:$H$77)</f>
        <v>0.11007067137809187</v>
      </c>
      <c r="N26" s="27">
        <f t="shared" si="0"/>
        <v>6672.4385909066796</v>
      </c>
      <c r="O26" s="28">
        <f>J26/L26*100</f>
        <v>8.5627884768422735</v>
      </c>
      <c r="P26" s="112">
        <f t="shared" si="1"/>
        <v>-2</v>
      </c>
      <c r="Q26" s="76">
        <f t="shared" si="2"/>
        <v>71275.461586121441</v>
      </c>
      <c r="R26" s="96">
        <f t="shared" si="3"/>
        <v>0.91468312946784613</v>
      </c>
    </row>
    <row r="27" spans="1:18">
      <c r="A27" s="25" t="s">
        <v>197</v>
      </c>
      <c r="B27" s="26" t="s">
        <v>6</v>
      </c>
      <c r="C27" s="135" t="s">
        <v>60</v>
      </c>
      <c r="D27" s="135" t="s">
        <v>247</v>
      </c>
      <c r="E27" s="207">
        <v>102502285</v>
      </c>
      <c r="F27" s="183">
        <f>(SUMIF(C$4:C$76,C27,E$4:E$76)-SUMIF('2019 CNESER'!C$4:C$77,C27,'2019 CNESER'!E$4:E$77))/(SUMIF('2019 CNESER'!C$4:C$77,C27,'2019 CNESER'!E$4:E$77))</f>
        <v>6.2138850278132427E-3</v>
      </c>
      <c r="G27" s="207">
        <v>112473897</v>
      </c>
      <c r="H27" s="183">
        <f>(SUMIF(C$4:C$76,C27,G$4:G$76)-SUMIF('2019 CNESER'!C$4:C$77,C27,'2019 CNESER'!F$4:F$77))/(SUMIF('2019 CNESER'!C$4:C$77,C27,'2019 CNESER'!F$4:F$77))</f>
        <v>-1.2238274826206241E-2</v>
      </c>
      <c r="I27" s="136">
        <v>1413</v>
      </c>
      <c r="J27" s="137">
        <v>1412</v>
      </c>
      <c r="K27" s="183">
        <f t="shared" si="4"/>
        <v>-7.0771408351026188E-4</v>
      </c>
      <c r="L27" s="173">
        <v>16799</v>
      </c>
      <c r="M27" s="101">
        <f>(SUMIF($C$4:$C$76,$C27,$L$4:$L$76)-SUMIF('2019 CNESER'!$C$4:$C$77,'2020 CNESER'!$C27,'2019 CNESER'!$H$4:$H$77))/SUMIF('2019 CNESER'!$C$4:$C$77,'2020 CNESER'!$C27,'2019 CNESER'!$H$4:$H$77)</f>
        <v>0.11717762851632639</v>
      </c>
      <c r="N27" s="27">
        <f t="shared" si="0"/>
        <v>6695.2733496041428</v>
      </c>
      <c r="O27" s="28">
        <f>I27/L27*100</f>
        <v>8.4112149532710276</v>
      </c>
      <c r="P27" s="112">
        <f t="shared" si="1"/>
        <v>-1</v>
      </c>
      <c r="Q27" s="76">
        <f t="shared" si="2"/>
        <v>72593.686260623232</v>
      </c>
      <c r="R27" s="96">
        <f t="shared" si="3"/>
        <v>0.91134287807241177</v>
      </c>
    </row>
    <row r="28" spans="1:18">
      <c r="A28" s="25" t="s">
        <v>197</v>
      </c>
      <c r="B28" s="26" t="s">
        <v>20</v>
      </c>
      <c r="C28" s="135" t="s">
        <v>21</v>
      </c>
      <c r="D28" s="135" t="s">
        <v>249</v>
      </c>
      <c r="E28" s="207">
        <v>213630494</v>
      </c>
      <c r="F28" s="183">
        <f>(SUMIF(C$4:C$76,C28,E$4:E$76)-SUMIF('2019 CNESER'!C$4:C$77,C28,'2019 CNESER'!E$4:E$77))/(SUMIF('2019 CNESER'!C$4:C$77,C28,'2019 CNESER'!E$4:E$77))</f>
        <v>9.1974794506813305E-3</v>
      </c>
      <c r="G28" s="207">
        <v>240180673</v>
      </c>
      <c r="H28" s="183">
        <f>(SUMIF(C$4:C$76,C28,G$4:G$76)-SUMIF('2019 CNESER'!C$4:C$77,C28,'2019 CNESER'!F$4:F$77))/(SUMIF('2019 CNESER'!C$4:C$77,C28,'2019 CNESER'!F$4:F$77))</f>
        <v>2.3382945281321451E-3</v>
      </c>
      <c r="I28" s="136">
        <v>3025</v>
      </c>
      <c r="J28" s="137">
        <v>3027</v>
      </c>
      <c r="K28" s="183">
        <f t="shared" si="4"/>
        <v>6.6115702479338848E-4</v>
      </c>
      <c r="L28" s="173">
        <v>34957</v>
      </c>
      <c r="M28" s="101">
        <f>(SUMIF($C$4:$C$76,$C28,$L$4:$L$76)-SUMIF('2019 CNESER'!$C$4:$C$77,'2020 CNESER'!$C28,'2019 CNESER'!$H$4:$H$77))/SUMIF('2019 CNESER'!$C$4:$C$77,'2020 CNESER'!$C28,'2019 CNESER'!$H$4:$H$77)</f>
        <v>9.4150051644808913E-2</v>
      </c>
      <c r="N28" s="27">
        <f t="shared" si="0"/>
        <v>6870.7461452641819</v>
      </c>
      <c r="O28" s="28">
        <f>J28/L28*100</f>
        <v>8.6592098864319027</v>
      </c>
      <c r="P28" s="112">
        <f t="shared" si="1"/>
        <v>2</v>
      </c>
      <c r="Q28" s="76">
        <f t="shared" si="2"/>
        <v>70574.989758837139</v>
      </c>
      <c r="R28" s="96">
        <f t="shared" si="3"/>
        <v>0.88945747104305928</v>
      </c>
    </row>
    <row r="29" spans="1:18">
      <c r="A29" s="25" t="s">
        <v>197</v>
      </c>
      <c r="B29" s="26" t="s">
        <v>6</v>
      </c>
      <c r="C29" s="135" t="s">
        <v>49</v>
      </c>
      <c r="D29" s="135" t="s">
        <v>49</v>
      </c>
      <c r="E29" s="207">
        <v>174843068</v>
      </c>
      <c r="F29" s="183">
        <f>(SUMIF(C$4:C$76,C29,E$4:E$76)-SUMIF('2019 CNESER'!C$4:C$77,C29,'2019 CNESER'!E$4:E$77))/(SUMIF('2019 CNESER'!C$4:C$77,C29,'2019 CNESER'!E$4:E$77))</f>
        <v>6.107136940649795E-3</v>
      </c>
      <c r="G29" s="207">
        <v>203641256</v>
      </c>
      <c r="H29" s="183">
        <f>(SUMIF(C$4:C$76,C29,G$4:G$76)-SUMIF('2019 CNESER'!C$4:C$77,C29,'2019 CNESER'!F$4:F$77))/(SUMIF('2019 CNESER'!C$4:C$77,C29,'2019 CNESER'!F$4:F$77))</f>
        <v>3.6551669509254487E-3</v>
      </c>
      <c r="I29" s="136">
        <v>2596</v>
      </c>
      <c r="J29" s="137">
        <v>2595</v>
      </c>
      <c r="K29" s="183">
        <f t="shared" si="4"/>
        <v>-3.8520801232665641E-4</v>
      </c>
      <c r="L29" s="173">
        <v>28546</v>
      </c>
      <c r="M29" s="101">
        <f>(SUMIF($C$4:$C$76,$C29,$L$4:$L$76)-SUMIF('2019 CNESER'!$C$4:$C$77,'2020 CNESER'!$C29,'2019 CNESER'!$H$4:$H$77))/SUMIF('2019 CNESER'!$C$4:$C$77,'2020 CNESER'!$C29,'2019 CNESER'!$H$4:$H$77)</f>
        <v>8.3915552855407041E-2</v>
      </c>
      <c r="N29" s="27">
        <f t="shared" si="0"/>
        <v>7133.7930358018639</v>
      </c>
      <c r="O29" s="28">
        <f>I29/L29*100</f>
        <v>9.0940937434316549</v>
      </c>
      <c r="P29" s="112">
        <f t="shared" si="1"/>
        <v>-1</v>
      </c>
      <c r="Q29" s="76">
        <f t="shared" si="2"/>
        <v>67376.904816955677</v>
      </c>
      <c r="R29" s="96">
        <f t="shared" si="3"/>
        <v>0.85858372431173768</v>
      </c>
    </row>
    <row r="30" spans="1:18">
      <c r="A30" s="25" t="s">
        <v>197</v>
      </c>
      <c r="B30" s="26" t="s">
        <v>2</v>
      </c>
      <c r="C30" s="135" t="s">
        <v>3</v>
      </c>
      <c r="D30" s="135" t="s">
        <v>3</v>
      </c>
      <c r="E30" s="207">
        <v>465032831</v>
      </c>
      <c r="F30" s="183">
        <f>(SUMIF(C$4:C$76,C30,E$4:E$76)-SUMIF('2019 CNESER'!C$4:C$77,C30,'2019 CNESER'!E$4:E$77))/(SUMIF('2019 CNESER'!C$4:C$77,C30,'2019 CNESER'!E$4:E$77))</f>
        <v>4.8608016745495027E-3</v>
      </c>
      <c r="G30" s="207">
        <v>509698442</v>
      </c>
      <c r="H30" s="183">
        <f>(SUMIF(C$4:C$76,C30,G$4:G$76)-SUMIF('2019 CNESER'!C$4:C$77,C30,'2019 CNESER'!F$4:F$77))/(SUMIF('2019 CNESER'!C$4:C$77,C30,'2019 CNESER'!F$4:F$77))</f>
        <v>8.0859180289075605E-4</v>
      </c>
      <c r="I30" s="136">
        <v>6722</v>
      </c>
      <c r="J30" s="137">
        <v>6715</v>
      </c>
      <c r="K30" s="183">
        <f t="shared" si="4"/>
        <v>-1.0413567390657541E-3</v>
      </c>
      <c r="L30" s="173">
        <v>70389</v>
      </c>
      <c r="M30" s="101">
        <f>(SUMIF($C$4:$C$76,$C30,$L$4:$L$76)-SUMIF('2019 CNESER'!$C$4:$C$77,'2020 CNESER'!$C30,'2019 CNESER'!$H$4:$H$77))/SUMIF('2019 CNESER'!$C$4:$C$77,'2020 CNESER'!$C30,'2019 CNESER'!$H$4:$H$77)</f>
        <v>9.2945980777292977E-2</v>
      </c>
      <c r="N30" s="27">
        <f t="shared" si="0"/>
        <v>7241.166119706204</v>
      </c>
      <c r="O30" s="28">
        <f>J30/L30*100</f>
        <v>9.5398428731762053</v>
      </c>
      <c r="P30" s="112">
        <f t="shared" si="1"/>
        <v>-7</v>
      </c>
      <c r="Q30" s="76">
        <f t="shared" si="2"/>
        <v>69252.841548771408</v>
      </c>
      <c r="R30" s="96">
        <f t="shared" si="3"/>
        <v>0.91236855497392322</v>
      </c>
    </row>
    <row r="31" spans="1:18">
      <c r="A31" s="25" t="s">
        <v>197</v>
      </c>
      <c r="B31" s="26" t="s">
        <v>6</v>
      </c>
      <c r="C31" s="135" t="s">
        <v>12</v>
      </c>
      <c r="D31" s="135" t="s">
        <v>245</v>
      </c>
      <c r="E31" s="207">
        <v>153684829</v>
      </c>
      <c r="F31" s="183">
        <f>(SUMIF(C$4:C$76,C31,E$4:E$76)-SUMIF('2019 CNESER'!C$4:C$77,C31,'2019 CNESER'!E$4:E$77))/(SUMIF('2019 CNESER'!C$4:C$77,C31,'2019 CNESER'!E$4:E$77))</f>
        <v>5.9949273736770795E-3</v>
      </c>
      <c r="G31" s="207">
        <v>168549141</v>
      </c>
      <c r="H31" s="183">
        <f>(SUMIF(C$4:C$76,C31,G$4:G$76)-SUMIF('2019 CNESER'!C$4:C$77,C31,'2019 CNESER'!F$4:F$77))/(SUMIF('2019 CNESER'!C$4:C$77,C31,'2019 CNESER'!F$4:F$77))</f>
        <v>3.7402571861841305E-3</v>
      </c>
      <c r="I31" s="136">
        <v>2289</v>
      </c>
      <c r="J31" s="137">
        <v>2290</v>
      </c>
      <c r="K31" s="183">
        <f t="shared" si="4"/>
        <v>4.3687199650502403E-4</v>
      </c>
      <c r="L31" s="173">
        <v>23163</v>
      </c>
      <c r="M31" s="101">
        <f>(SUMIF($C$4:$C$76,$C31,$L$4:$L$76)-SUMIF('2019 CNESER'!$C$4:$C$77,'2020 CNESER'!$C31,'2019 CNESER'!$H$4:$H$77))/SUMIF('2019 CNESER'!$C$4:$C$77,'2020 CNESER'!$C31,'2019 CNESER'!$H$4:$H$77)</f>
        <v>9.0690775533267418E-2</v>
      </c>
      <c r="N31" s="27">
        <f t="shared" si="0"/>
        <v>7276.6541898717778</v>
      </c>
      <c r="O31" s="28">
        <f>J31/L31*100</f>
        <v>9.8864568492854978</v>
      </c>
      <c r="P31" s="112">
        <f t="shared" si="1"/>
        <v>1</v>
      </c>
      <c r="Q31" s="76">
        <f t="shared" si="2"/>
        <v>67111.279039301313</v>
      </c>
      <c r="R31" s="96">
        <f t="shared" si="3"/>
        <v>0.91181021800639139</v>
      </c>
    </row>
    <row r="32" spans="1:18">
      <c r="A32" s="25" t="s">
        <v>197</v>
      </c>
      <c r="B32" s="26" t="s">
        <v>37</v>
      </c>
      <c r="C32" s="135" t="s">
        <v>38</v>
      </c>
      <c r="D32" s="135" t="s">
        <v>251</v>
      </c>
      <c r="E32" s="207">
        <v>442283676</v>
      </c>
      <c r="F32" s="183">
        <f>(SUMIF(C$4:C$76,C32,E$4:E$76)-SUMIF('2019 CNESER'!C$4:C$77,C32,'2019 CNESER'!E$4:E$77))/(SUMIF('2019 CNESER'!C$4:C$77,C32,'2019 CNESER'!E$4:E$77))</f>
        <v>3.1843557671341308E-3</v>
      </c>
      <c r="G32" s="207">
        <v>485786762</v>
      </c>
      <c r="H32" s="183">
        <f>(SUMIF(C$4:C$76,C32,G$4:G$76)-SUMIF('2019 CNESER'!C$4:C$77,C32,'2019 CNESER'!F$4:F$77))/(SUMIF('2019 CNESER'!C$4:C$77,C32,'2019 CNESER'!F$4:F$77))</f>
        <v>-4.1455834923427972E-3</v>
      </c>
      <c r="I32" s="136">
        <v>6207</v>
      </c>
      <c r="J32" s="137">
        <v>6203</v>
      </c>
      <c r="K32" s="183">
        <f t="shared" si="4"/>
        <v>-6.444337038827131E-4</v>
      </c>
      <c r="L32" s="173">
        <v>66703</v>
      </c>
      <c r="M32" s="101">
        <f>(SUMIF($C$4:$C$76,$C32,$L$4:$L$76)-SUMIF('2019 CNESER'!$C$4:$C$77,'2020 CNESER'!$C32,'2019 CNESER'!$H$4:$H$77))/SUMIF('2019 CNESER'!$C$4:$C$77,'2020 CNESER'!$C32,'2019 CNESER'!$H$4:$H$77)</f>
        <v>0.11216153127917834</v>
      </c>
      <c r="N32" s="27">
        <f t="shared" si="0"/>
        <v>7282.8322864039101</v>
      </c>
      <c r="O32" s="28">
        <f>I32/L32*100</f>
        <v>9.3054285414449129</v>
      </c>
      <c r="P32" s="112">
        <f t="shared" si="1"/>
        <v>-4</v>
      </c>
      <c r="Q32" s="76">
        <f t="shared" si="2"/>
        <v>71301.576011607292</v>
      </c>
      <c r="R32" s="96">
        <f t="shared" si="3"/>
        <v>0.91044818549419426</v>
      </c>
    </row>
    <row r="33" spans="1:18">
      <c r="A33" s="25" t="s">
        <v>197</v>
      </c>
      <c r="B33" s="26" t="s">
        <v>8</v>
      </c>
      <c r="C33" s="135" t="s">
        <v>9</v>
      </c>
      <c r="D33" s="135" t="s">
        <v>244</v>
      </c>
      <c r="E33" s="207">
        <v>80230101</v>
      </c>
      <c r="F33" s="183">
        <f>(SUMIF(C$4:C$76,C33,E$4:E$76)-SUMIF('2019 CNESER'!C$4:C$77,C33,'2019 CNESER'!E$4:E$77))/(SUMIF('2019 CNESER'!C$4:C$77,C33,'2019 CNESER'!E$4:E$77))</f>
        <v>9.9012110667712917E-3</v>
      </c>
      <c r="G33" s="207">
        <v>86553900</v>
      </c>
      <c r="H33" s="183">
        <f>(SUMIF(C$4:C$76,C33,G$4:G$76)-SUMIF('2019 CNESER'!C$4:C$77,C33,'2019 CNESER'!F$4:F$77))/(SUMIF('2019 CNESER'!C$4:C$77,C33,'2019 CNESER'!F$4:F$77))</f>
        <v>6.5457997823493664E-3</v>
      </c>
      <c r="I33" s="135">
        <v>971</v>
      </c>
      <c r="J33" s="137">
        <v>975</v>
      </c>
      <c r="K33" s="183">
        <f t="shared" si="4"/>
        <v>4.1194644696189494E-3</v>
      </c>
      <c r="L33" s="173">
        <v>11554</v>
      </c>
      <c r="M33" s="101">
        <f>(SUMIF($C$4:$C$76,$C33,$L$4:$L$76)-SUMIF('2019 CNESER'!$C$4:$C$77,'2020 CNESER'!$C33,'2019 CNESER'!$H$4:$H$77))/SUMIF('2019 CNESER'!$C$4:$C$77,'2020 CNESER'!$C33,'2019 CNESER'!$H$4:$H$77)</f>
        <v>8.4780771758520321E-2</v>
      </c>
      <c r="N33" s="27">
        <f t="shared" si="0"/>
        <v>7491.2497836247185</v>
      </c>
      <c r="O33" s="28">
        <f>J33/L33*100</f>
        <v>8.4386359702267608</v>
      </c>
      <c r="P33" s="112">
        <f t="shared" si="1"/>
        <v>4</v>
      </c>
      <c r="Q33" s="76">
        <f t="shared" si="2"/>
        <v>82287.283076923079</v>
      </c>
      <c r="R33" s="96">
        <f t="shared" si="3"/>
        <v>0.92693802358992494</v>
      </c>
    </row>
    <row r="34" spans="1:18">
      <c r="A34" s="25" t="s">
        <v>197</v>
      </c>
      <c r="B34" s="26" t="s">
        <v>33</v>
      </c>
      <c r="C34" s="135" t="s">
        <v>56</v>
      </c>
      <c r="D34" s="135" t="s">
        <v>255</v>
      </c>
      <c r="E34" s="207">
        <v>449985089</v>
      </c>
      <c r="F34" s="183">
        <f>(SUMIF(C$4:C$76,C34,E$4:E$76)-SUMIF('2019 CNESER'!C$4:C$77,C34,'2019 CNESER'!E$4:E$77))/(SUMIF('2019 CNESER'!C$4:C$77,C34,'2019 CNESER'!E$4:E$77))</f>
        <v>-2.9630902563803183E-3</v>
      </c>
      <c r="G34" s="207">
        <v>488773085</v>
      </c>
      <c r="H34" s="183">
        <f>(SUMIF(C$4:C$76,C34,G$4:G$76)-SUMIF('2019 CNESER'!C$4:C$77,C34,'2019 CNESER'!F$4:F$77))/(SUMIF('2019 CNESER'!C$4:C$77,C34,'2019 CNESER'!F$4:F$77))</f>
        <v>-1.1276132664370053E-2</v>
      </c>
      <c r="I34" s="136">
        <v>6839</v>
      </c>
      <c r="J34" s="137">
        <v>6793</v>
      </c>
      <c r="K34" s="183">
        <f t="shared" si="4"/>
        <v>-6.7261295511039628E-3</v>
      </c>
      <c r="L34" s="173">
        <v>51396</v>
      </c>
      <c r="M34" s="101">
        <f>(SUMIF($C$4:$C$76,$C34,$L$4:$L$76)-SUMIF('2019 CNESER'!$C$4:$C$77,'2020 CNESER'!$C34,'2019 CNESER'!$H$4:$H$77))/SUMIF('2019 CNESER'!$C$4:$C$77,'2020 CNESER'!$C34,'2019 CNESER'!$H$4:$H$77)</f>
        <v>3.3958316568761568E-2</v>
      </c>
      <c r="N34" s="27">
        <f t="shared" si="0"/>
        <v>9509.944061794693</v>
      </c>
      <c r="O34" s="28">
        <f>I34/L34*100</f>
        <v>13.306482994785588</v>
      </c>
      <c r="P34" s="112">
        <f t="shared" si="1"/>
        <v>-46</v>
      </c>
      <c r="Q34" s="76">
        <f t="shared" si="2"/>
        <v>66242.468570587371</v>
      </c>
      <c r="R34" s="96">
        <f t="shared" si="3"/>
        <v>0.92064211964535647</v>
      </c>
    </row>
    <row r="35" spans="1:18">
      <c r="A35" s="34" t="s">
        <v>200</v>
      </c>
      <c r="B35" s="35" t="s">
        <v>4</v>
      </c>
      <c r="C35" s="141" t="s">
        <v>44</v>
      </c>
      <c r="D35" s="141" t="s">
        <v>41</v>
      </c>
      <c r="E35" s="208">
        <v>17124413</v>
      </c>
      <c r="F35" s="182">
        <f>(SUMIF(C$4:C$76,C35,E$4:E$76)-SUMIF('2019 CNESER'!C$4:C$77,C35,'2019 CNESER'!E$4:E$77))/(SUMIF('2019 CNESER'!C$4:C$77,C35,'2019 CNESER'!E$4:E$77))</f>
        <v>2.9839796538777729E-2</v>
      </c>
      <c r="G35" s="208">
        <v>19110898</v>
      </c>
      <c r="H35" s="182">
        <f>(SUMIF(C$4:C$76,C35,G$4:G$76)-SUMIF('2019 CNESER'!C$4:C$77,C35,'2019 CNESER'!F$4:F$77))/(SUMIF('2019 CNESER'!C$4:C$77,C35,'2019 CNESER'!F$4:F$77))</f>
        <v>1.1337026330464855E-2</v>
      </c>
      <c r="I35" s="141">
        <v>218</v>
      </c>
      <c r="J35" s="143">
        <v>220</v>
      </c>
      <c r="K35" s="182">
        <f t="shared" si="4"/>
        <v>9.1743119266055051E-3</v>
      </c>
      <c r="L35" s="175">
        <v>4836</v>
      </c>
      <c r="M35" s="178">
        <f>(SUMIF($C$4:$C$76,$C35,$L$4:$L$76)-SUMIF('2019 CNESER'!$C$4:$C$77,'2020 CNESER'!$C35,'2019 CNESER'!$H$4:$H$77))/SUMIF('2019 CNESER'!$C$4:$C$77,'2020 CNESER'!$C35,'2019 CNESER'!$H$4:$H$77)</f>
        <v>7.3712255772646534E-2</v>
      </c>
      <c r="N35" s="36">
        <f t="shared" si="0"/>
        <v>3951.798593879239</v>
      </c>
      <c r="O35" s="37">
        <f>I35/L35*100</f>
        <v>4.5078577336641859</v>
      </c>
      <c r="P35" s="112">
        <f t="shared" si="1"/>
        <v>2</v>
      </c>
      <c r="Q35" s="76">
        <f t="shared" si="2"/>
        <v>77838.240909090906</v>
      </c>
      <c r="R35" s="96">
        <f t="shared" si="3"/>
        <v>0.89605485833266441</v>
      </c>
    </row>
    <row r="36" spans="1:18">
      <c r="A36" s="34" t="s">
        <v>200</v>
      </c>
      <c r="B36" s="35" t="s">
        <v>18</v>
      </c>
      <c r="C36" s="141" t="s">
        <v>19</v>
      </c>
      <c r="D36" s="141" t="s">
        <v>247</v>
      </c>
      <c r="E36" s="208">
        <v>114097336</v>
      </c>
      <c r="F36" s="182">
        <f>(SUMIF(C$4:C$76,C36,E$4:E$76)-SUMIF('2019 CNESER'!C$4:C$77,C36,'2019 CNESER'!E$4:E$77))/(SUMIF('2019 CNESER'!C$4:C$77,C36,'2019 CNESER'!E$4:E$77))</f>
        <v>1.5884133296512535E-2</v>
      </c>
      <c r="G36" s="208">
        <v>125732796</v>
      </c>
      <c r="H36" s="182">
        <f>(SUMIF(C$4:C$76,C36,G$4:G$76)-SUMIF('2019 CNESER'!C$4:C$77,C36,'2019 CNESER'!F$4:F$77))/(SUMIF('2019 CNESER'!C$4:C$77,C36,'2019 CNESER'!F$4:F$77))</f>
        <v>9.7977923482512989E-3</v>
      </c>
      <c r="I36" s="142">
        <v>1554</v>
      </c>
      <c r="J36" s="143">
        <v>1557</v>
      </c>
      <c r="K36" s="182">
        <f t="shared" ref="K36:K67" si="5">(J36-I36)/I36</f>
        <v>1.9305019305019305E-3</v>
      </c>
      <c r="L36" s="175">
        <v>24808</v>
      </c>
      <c r="M36" s="178">
        <f>(SUMIF($C$4:$C$76,$C36,$L$4:$L$76)-SUMIF('2019 CNESER'!$C$4:$C$77,'2020 CNESER'!$C36,'2019 CNESER'!$H$4:$H$77))/SUMIF('2019 CNESER'!$C$4:$C$77,'2020 CNESER'!$C36,'2019 CNESER'!$H$4:$H$77)</f>
        <v>0.2103825136612022</v>
      </c>
      <c r="N36" s="36">
        <f t="shared" si="0"/>
        <v>5068.2358916478552</v>
      </c>
      <c r="O36" s="37">
        <f>I36/L36*100</f>
        <v>6.2641083521444694</v>
      </c>
      <c r="P36" s="112">
        <f t="shared" ref="P36:P57" si="6">J36-I36</f>
        <v>3</v>
      </c>
      <c r="Q36" s="76">
        <f t="shared" ref="Q36:Q71" si="7">E36/J36</f>
        <v>73280.241490044951</v>
      </c>
      <c r="R36" s="96">
        <f t="shared" ref="R36:R71" si="8">E36/G36</f>
        <v>0.90745883039139608</v>
      </c>
    </row>
    <row r="37" spans="1:18">
      <c r="A37" s="34" t="s">
        <v>200</v>
      </c>
      <c r="B37" s="35" t="s">
        <v>18</v>
      </c>
      <c r="C37" s="141" t="s">
        <v>334</v>
      </c>
      <c r="D37" s="141" t="s">
        <v>252</v>
      </c>
      <c r="E37" s="208">
        <v>76704903</v>
      </c>
      <c r="F37" s="182">
        <f>(SUMIF(C$4:C$76,C37,E$4:E$76)-SUMIF('2019 CNESER'!C$4:C$77,C37,'2019 CNESER'!E$4:E$77))/(SUMIF('2019 CNESER'!C$4:C$77,C37,'2019 CNESER'!E$4:E$77))</f>
        <v>1.5472024309402359E-2</v>
      </c>
      <c r="G37" s="208">
        <v>79880640</v>
      </c>
      <c r="H37" s="182">
        <f>(SUMIF(C$4:C$76,C37,G$4:G$76)-SUMIF('2019 CNESER'!C$4:C$77,C37,'2019 CNESER'!F$4:F$77))/(SUMIF('2019 CNESER'!C$4:C$77,C37,'2019 CNESER'!F$4:F$77))</f>
        <v>-2.6244202332671484E-3</v>
      </c>
      <c r="I37" s="141">
        <v>996</v>
      </c>
      <c r="J37" s="143">
        <v>1870</v>
      </c>
      <c r="K37" s="182">
        <f t="shared" si="5"/>
        <v>0.8775100401606426</v>
      </c>
      <c r="L37" s="175">
        <v>15367</v>
      </c>
      <c r="M37" s="178">
        <f>(SUMIF($C$4:$C$76,$C37,$L$4:$L$76)-SUMIF('2019 CNESER'!$C$4:$C$77,'2020 CNESER'!$C37,'2019 CNESER'!$H$4:$H$77))/SUMIF('2019 CNESER'!$C$4:$C$77,'2020 CNESER'!$C37,'2019 CNESER'!$H$4:$H$77)</f>
        <v>0.30206744619556009</v>
      </c>
      <c r="N37" s="36">
        <f t="shared" si="0"/>
        <v>5198.1935315936744</v>
      </c>
      <c r="O37" s="37">
        <f>J37/L37*100</f>
        <v>12.168933428775947</v>
      </c>
      <c r="P37" s="112">
        <f t="shared" si="6"/>
        <v>874</v>
      </c>
      <c r="Q37" s="76">
        <f t="shared" si="7"/>
        <v>41018.664705882351</v>
      </c>
      <c r="R37" s="96">
        <f t="shared" si="8"/>
        <v>0.96024397150548624</v>
      </c>
    </row>
    <row r="38" spans="1:18">
      <c r="A38" s="34" t="s">
        <v>200</v>
      </c>
      <c r="B38" s="35" t="s">
        <v>4</v>
      </c>
      <c r="C38" s="141" t="s">
        <v>332</v>
      </c>
      <c r="D38" s="141" t="s">
        <v>255</v>
      </c>
      <c r="E38" s="208">
        <v>52987345</v>
      </c>
      <c r="F38" s="182">
        <f>(SUMIF(C$4:C$76,C38,E$4:E$76)-SUMIF('2019 CNESER'!C$4:C$77,C38,'2019 CNESER'!E$4:E$77))/(SUMIF('2019 CNESER'!C$4:C$77,C38,'2019 CNESER'!E$4:E$77))</f>
        <v>3.5930915904382307E-4</v>
      </c>
      <c r="G38" s="208">
        <v>58416480</v>
      </c>
      <c r="H38" s="182">
        <f>(SUMIF(C$4:C$76,C38,G$4:G$76)-SUMIF('2019 CNESER'!C$4:C$77,C38,'2019 CNESER'!F$4:F$77))/(SUMIF('2019 CNESER'!C$4:C$77,C38,'2019 CNESER'!F$4:F$77))</f>
        <v>-2.1325449397948341E-3</v>
      </c>
      <c r="I38" s="141">
        <v>746</v>
      </c>
      <c r="J38" s="204">
        <f>I38+(E38-(SUMIF('2019 CNESER'!C$4:C$72,'2020 CNESER'!C38,'2019 CNESER'!E$4:E$72)))/60000</f>
        <v>746.31719999999996</v>
      </c>
      <c r="K38" s="182">
        <f t="shared" si="5"/>
        <v>4.2520107238600143E-4</v>
      </c>
      <c r="L38" s="175">
        <v>11150</v>
      </c>
      <c r="M38" s="178">
        <f>(SUMIF($C$4:$C$76,$C38,$L$4:$L$76)-SUMIF('2019 CNESER'!$C$4:$C$77,'2020 CNESER'!$C38,'2019 CNESER'!$H$4:$H$77))/SUMIF('2019 CNESER'!$C$4:$C$77,'2020 CNESER'!$C38,'2019 CNESER'!$H$4:$H$77)</f>
        <v>5.7674065642193136E-2</v>
      </c>
      <c r="N38" s="36">
        <f t="shared" si="0"/>
        <v>5239.1461883408074</v>
      </c>
      <c r="O38" s="37">
        <f>I38/L38*100</f>
        <v>6.6905829596412563</v>
      </c>
      <c r="P38" s="112">
        <f t="shared" si="6"/>
        <v>0.31719999999995707</v>
      </c>
      <c r="Q38" s="76">
        <f t="shared" si="7"/>
        <v>70998.423994516008</v>
      </c>
      <c r="R38" s="96">
        <f t="shared" si="8"/>
        <v>0.90706158604558162</v>
      </c>
    </row>
    <row r="39" spans="1:18">
      <c r="A39" s="34" t="s">
        <v>200</v>
      </c>
      <c r="B39" s="35" t="s">
        <v>6</v>
      </c>
      <c r="C39" s="141" t="s">
        <v>16</v>
      </c>
      <c r="D39" s="141" t="s">
        <v>246</v>
      </c>
      <c r="E39" s="208">
        <v>59147670</v>
      </c>
      <c r="F39" s="182">
        <f>(SUMIF(C$4:C$76,C39,E$4:E$76)-SUMIF('2019 CNESER'!C$4:C$77,C39,'2019 CNESER'!E$4:E$77))/(SUMIF('2019 CNESER'!C$4:C$77,C39,'2019 CNESER'!E$4:E$77))</f>
        <v>7.2266720178649369E-3</v>
      </c>
      <c r="G39" s="208">
        <v>64416852</v>
      </c>
      <c r="H39" s="182">
        <f>(SUMIF(C$4:C$76,C39,G$4:G$76)-SUMIF('2019 CNESER'!C$4:C$77,C39,'2019 CNESER'!F$4:F$77))/(SUMIF('2019 CNESER'!C$4:C$77,C39,'2019 CNESER'!F$4:F$77))</f>
        <v>2.9791431022390402E-3</v>
      </c>
      <c r="I39" s="141">
        <v>816</v>
      </c>
      <c r="J39" s="143">
        <v>822</v>
      </c>
      <c r="K39" s="182">
        <f t="shared" si="5"/>
        <v>7.3529411764705881E-3</v>
      </c>
      <c r="L39" s="175">
        <v>10169</v>
      </c>
      <c r="M39" s="178">
        <f>(SUMIF($C$4:$C$76,$C39,$L$4:$L$76)-SUMIF('2019 CNESER'!$C$4:$C$77,'2020 CNESER'!$C39,'2019 CNESER'!$H$4:$H$77))/SUMIF('2019 CNESER'!$C$4:$C$77,'2020 CNESER'!$C39,'2019 CNESER'!$H$4:$H$77)</f>
        <v>0.14104578096947937</v>
      </c>
      <c r="N39" s="36">
        <f>G39/'2021 CNESER'!K38</f>
        <v>6083.9489988666419</v>
      </c>
      <c r="O39" s="37">
        <f>I39/'2021 CNESER'!K38*100</f>
        <v>7.7068379297317717</v>
      </c>
      <c r="P39" s="112">
        <f t="shared" si="6"/>
        <v>6</v>
      </c>
      <c r="Q39" s="76">
        <f t="shared" si="7"/>
        <v>71955.802919708032</v>
      </c>
      <c r="R39" s="96">
        <f t="shared" si="8"/>
        <v>0.91820180843360677</v>
      </c>
    </row>
    <row r="40" spans="1:18">
      <c r="A40" s="34" t="s">
        <v>200</v>
      </c>
      <c r="B40" s="35" t="s">
        <v>4</v>
      </c>
      <c r="C40" s="141" t="s">
        <v>10</v>
      </c>
      <c r="D40" s="141" t="s">
        <v>34</v>
      </c>
      <c r="E40" s="208">
        <v>79293499</v>
      </c>
      <c r="F40" s="182">
        <f>(SUMIF(C$4:C$76,C40,E$4:E$76)-SUMIF('2019 CNESER'!C$4:C$77,C40,'2019 CNESER'!E$4:E$77))/(SUMIF('2019 CNESER'!C$4:C$77,C40,'2019 CNESER'!E$4:E$77))</f>
        <v>8.0357844667205431E-3</v>
      </c>
      <c r="G40" s="208">
        <v>85325302</v>
      </c>
      <c r="H40" s="182">
        <f>(SUMIF(C$4:C$76,C40,G$4:G$76)-SUMIF('2019 CNESER'!C$4:C$77,C40,'2019 CNESER'!F$4:F$77))/(SUMIF('2019 CNESER'!C$4:C$77,C40,'2019 CNESER'!F$4:F$77))</f>
        <v>4.4719178722651279E-3</v>
      </c>
      <c r="I40" s="142">
        <v>1114</v>
      </c>
      <c r="J40" s="143">
        <v>1110</v>
      </c>
      <c r="K40" s="182">
        <f t="shared" si="5"/>
        <v>-3.5906642728904849E-3</v>
      </c>
      <c r="L40" s="175">
        <v>14001</v>
      </c>
      <c r="M40" s="178">
        <f>(SUMIF($C$4:$C$76,$C40,$L$4:$L$76)-SUMIF('2019 CNESER'!$C$4:$C$77,'2020 CNESER'!$C40,'2019 CNESER'!$H$4:$H$77))/SUMIF('2019 CNESER'!$C$4:$C$77,'2020 CNESER'!$C40,'2019 CNESER'!$H$4:$H$77)</f>
        <v>0.21367891816920942</v>
      </c>
      <c r="N40" s="36">
        <f t="shared" ref="N40:N71" si="9">G40/L40</f>
        <v>6094.2291264909645</v>
      </c>
      <c r="O40" s="37">
        <f>J40/L40*100</f>
        <v>7.9280051424898215</v>
      </c>
      <c r="P40" s="112">
        <f t="shared" si="6"/>
        <v>-4</v>
      </c>
      <c r="Q40" s="76">
        <f t="shared" si="7"/>
        <v>71435.584684684683</v>
      </c>
      <c r="R40" s="96">
        <f t="shared" si="8"/>
        <v>0.92930815527614541</v>
      </c>
    </row>
    <row r="41" spans="1:18">
      <c r="A41" s="34" t="s">
        <v>200</v>
      </c>
      <c r="B41" s="35" t="s">
        <v>4</v>
      </c>
      <c r="C41" s="141" t="s">
        <v>173</v>
      </c>
      <c r="D41" s="141" t="s">
        <v>248</v>
      </c>
      <c r="E41" s="208">
        <v>83288947</v>
      </c>
      <c r="F41" s="182">
        <f>(SUMIF(C$4:C$76,C41,E$4:E$76)-SUMIF('2019 CNESER'!C$4:C$77,C41,'2019 CNESER'!E$4:E$77))/(SUMIF('2019 CNESER'!C$4:C$77,C41,'2019 CNESER'!E$4:E$77))</f>
        <v>1.0272315316271268E-2</v>
      </c>
      <c r="G41" s="208">
        <v>91757428</v>
      </c>
      <c r="H41" s="182">
        <f>(SUMIF(C$4:C$76,C41,G$4:G$76)-SUMIF('2019 CNESER'!C$4:C$77,C41,'2019 CNESER'!F$4:F$77))/(SUMIF('2019 CNESER'!C$4:C$77,C41,'2019 CNESER'!F$4:F$77))</f>
        <v>2.6304379706702488E-3</v>
      </c>
      <c r="I41" s="142">
        <v>1112</v>
      </c>
      <c r="J41" s="143">
        <v>1111</v>
      </c>
      <c r="K41" s="182">
        <f t="shared" si="5"/>
        <v>-8.9928057553956839E-4</v>
      </c>
      <c r="L41" s="175">
        <v>13733</v>
      </c>
      <c r="M41" s="178">
        <f>(SUMIF($C$4:$C$76,$C41,$L$4:$L$76)-SUMIF('2019 CNESER'!$C$4:$C$77,'2020 CNESER'!$C41,'2019 CNESER'!$H$4:$H$77))/SUMIF('2019 CNESER'!$C$4:$C$77,'2020 CNESER'!$C41,'2019 CNESER'!$H$4:$H$77)</f>
        <v>3.4423018981620972E-2</v>
      </c>
      <c r="N41" s="36">
        <f t="shared" si="9"/>
        <v>6681.5282895215905</v>
      </c>
      <c r="O41" s="37">
        <f>J41/L41*100</f>
        <v>8.090002184519042</v>
      </c>
      <c r="P41" s="112">
        <f t="shared" si="6"/>
        <v>-1</v>
      </c>
      <c r="Q41" s="76">
        <f t="shared" si="7"/>
        <v>74967.549054905496</v>
      </c>
      <c r="R41" s="96">
        <f t="shared" si="8"/>
        <v>0.9077079514478108</v>
      </c>
    </row>
    <row r="42" spans="1:18">
      <c r="A42" s="34" t="s">
        <v>200</v>
      </c>
      <c r="B42" s="35" t="s">
        <v>6</v>
      </c>
      <c r="C42" s="141" t="s">
        <v>36</v>
      </c>
      <c r="D42" s="141" t="s">
        <v>34</v>
      </c>
      <c r="E42" s="208">
        <v>66454959</v>
      </c>
      <c r="F42" s="182">
        <f>(SUMIF(C$4:C$76,C42,E$4:E$76)-SUMIF('2019 CNESER'!C$4:C$77,C42,'2019 CNESER'!E$4:E$77))/(SUMIF('2019 CNESER'!C$4:C$77,C42,'2019 CNESER'!E$4:E$77))</f>
        <v>1.0882044299097874E-2</v>
      </c>
      <c r="G42" s="208">
        <v>72473784</v>
      </c>
      <c r="H42" s="182">
        <f>(SUMIF(C$4:C$76,C42,G$4:G$76)-SUMIF('2019 CNESER'!C$4:C$77,C42,'2019 CNESER'!F$4:F$77))/(SUMIF('2019 CNESER'!C$4:C$77,C42,'2019 CNESER'!F$4:F$77))</f>
        <v>9.2969401558411265E-3</v>
      </c>
      <c r="I42" s="141">
        <v>936</v>
      </c>
      <c r="J42" s="143">
        <v>936</v>
      </c>
      <c r="K42" s="182">
        <f t="shared" si="5"/>
        <v>0</v>
      </c>
      <c r="L42" s="175">
        <v>10780</v>
      </c>
      <c r="M42" s="178">
        <f>(SUMIF($C$4:$C$76,$C42,$L$4:$L$76)-SUMIF('2019 CNESER'!$C$4:$C$77,'2020 CNESER'!$C42,'2019 CNESER'!$H$4:$H$77))/SUMIF('2019 CNESER'!$C$4:$C$77,'2020 CNESER'!$C42,'2019 CNESER'!$H$4:$H$77)</f>
        <v>0.1851363236587511</v>
      </c>
      <c r="N42" s="36">
        <f t="shared" si="9"/>
        <v>6722.9855287569571</v>
      </c>
      <c r="O42" s="37">
        <f>J42/L42*100</f>
        <v>8.6827458256029679</v>
      </c>
      <c r="P42" s="112">
        <f t="shared" si="6"/>
        <v>0</v>
      </c>
      <c r="Q42" s="76">
        <f t="shared" si="7"/>
        <v>70998.887820512828</v>
      </c>
      <c r="R42" s="96">
        <f t="shared" si="8"/>
        <v>0.91695169387043463</v>
      </c>
    </row>
    <row r="43" spans="1:18">
      <c r="A43" s="34" t="s">
        <v>200</v>
      </c>
      <c r="B43" s="35" t="s">
        <v>4</v>
      </c>
      <c r="C43" s="141" t="s">
        <v>32</v>
      </c>
      <c r="D43" s="141" t="s">
        <v>43</v>
      </c>
      <c r="E43" s="208">
        <v>66600640</v>
      </c>
      <c r="F43" s="182">
        <f>(SUMIF(C$4:C$76,C43,E$4:E$76)-SUMIF('2019 CNESER'!C$4:C$77,C43,'2019 CNESER'!E$4:E$77))/(SUMIF('2019 CNESER'!C$4:C$77,C43,'2019 CNESER'!E$4:E$77))</f>
        <v>9.0040168579013907E-3</v>
      </c>
      <c r="G43" s="208">
        <v>74060699</v>
      </c>
      <c r="H43" s="182">
        <f>(SUMIF(C$4:C$76,C43,G$4:G$76)-SUMIF('2019 CNESER'!C$4:C$77,C43,'2019 CNESER'!F$4:F$77))/(SUMIF('2019 CNESER'!C$4:C$77,C43,'2019 CNESER'!F$4:F$77))</f>
        <v>3.8935139561908313E-3</v>
      </c>
      <c r="I43" s="141">
        <v>929</v>
      </c>
      <c r="J43" s="143">
        <v>938</v>
      </c>
      <c r="K43" s="182">
        <f t="shared" si="5"/>
        <v>9.6878363832077503E-3</v>
      </c>
      <c r="L43" s="175">
        <v>10960</v>
      </c>
      <c r="M43" s="178">
        <f>(SUMIF($C$4:$C$76,$C43,$L$4:$L$76)-SUMIF('2019 CNESER'!$C$4:$C$77,'2020 CNESER'!$C43,'2019 CNESER'!$H$4:$H$77))/SUMIF('2019 CNESER'!$C$4:$C$77,'2020 CNESER'!$C43,'2019 CNESER'!$H$4:$H$77)</f>
        <v>0.12884952106293129</v>
      </c>
      <c r="N43" s="36">
        <f t="shared" si="9"/>
        <v>6757.3630474452557</v>
      </c>
      <c r="O43" s="37">
        <f>I43/L43*100</f>
        <v>8.4762773722627731</v>
      </c>
      <c r="P43" s="112">
        <f t="shared" si="6"/>
        <v>9</v>
      </c>
      <c r="Q43" s="76">
        <f t="shared" si="7"/>
        <v>71002.814498933905</v>
      </c>
      <c r="R43" s="96">
        <f t="shared" si="8"/>
        <v>0.89927101552201116</v>
      </c>
    </row>
    <row r="44" spans="1:18">
      <c r="A44" s="34" t="s">
        <v>200</v>
      </c>
      <c r="B44" s="35" t="s">
        <v>39</v>
      </c>
      <c r="C44" s="141" t="s">
        <v>48</v>
      </c>
      <c r="D44" s="141" t="s">
        <v>41</v>
      </c>
      <c r="E44" s="208">
        <v>56059262</v>
      </c>
      <c r="F44" s="182">
        <f>(SUMIF(C$4:C$76,C44,E$4:E$76)-SUMIF('2019 CNESER'!C$4:C$77,C44,'2019 CNESER'!E$4:E$77))/(SUMIF('2019 CNESER'!C$4:C$77,C44,'2019 CNESER'!E$4:E$77))</f>
        <v>8.6451527584046253E-3</v>
      </c>
      <c r="G44" s="208">
        <v>60802367</v>
      </c>
      <c r="H44" s="182">
        <f>(SUMIF(C$4:C$76,C44,G$4:G$76)-SUMIF('2019 CNESER'!C$4:C$77,C44,'2019 CNESER'!F$4:F$77))/(SUMIF('2019 CNESER'!C$4:C$77,C44,'2019 CNESER'!F$4:F$77))</f>
        <v>3.3014593458191208E-3</v>
      </c>
      <c r="I44" s="141">
        <v>761</v>
      </c>
      <c r="J44" s="143">
        <v>765</v>
      </c>
      <c r="K44" s="182">
        <f t="shared" si="5"/>
        <v>5.2562417871222077E-3</v>
      </c>
      <c r="L44" s="175">
        <v>8768</v>
      </c>
      <c r="M44" s="178">
        <f>(SUMIF($C$4:$C$76,$C44,$L$4:$L$76)-SUMIF('2019 CNESER'!$C$4:$C$77,'2020 CNESER'!$C44,'2019 CNESER'!$H$4:$H$77))/SUMIF('2019 CNESER'!$C$4:$C$77,'2020 CNESER'!$C44,'2019 CNESER'!$H$4:$H$77)</f>
        <v>-7.808079665044698E-3</v>
      </c>
      <c r="N44" s="36">
        <f t="shared" si="9"/>
        <v>6934.5765282846714</v>
      </c>
      <c r="O44" s="37">
        <f>I44/L44*100</f>
        <v>8.6792883211678831</v>
      </c>
      <c r="P44" s="112">
        <f t="shared" si="6"/>
        <v>4</v>
      </c>
      <c r="Q44" s="76">
        <f t="shared" si="7"/>
        <v>73280.081045751635</v>
      </c>
      <c r="R44" s="96">
        <f t="shared" si="8"/>
        <v>0.92199144155029356</v>
      </c>
    </row>
    <row r="45" spans="1:18">
      <c r="A45" s="34" t="s">
        <v>200</v>
      </c>
      <c r="B45" s="35" t="s">
        <v>39</v>
      </c>
      <c r="C45" s="141" t="s">
        <v>58</v>
      </c>
      <c r="D45" s="141" t="s">
        <v>253</v>
      </c>
      <c r="E45" s="208">
        <v>65098705</v>
      </c>
      <c r="F45" s="182">
        <f>(SUMIF(C$4:C$76,C45,E$4:E$76)-SUMIF('2019 CNESER'!C$4:C$77,C45,'2019 CNESER'!E$4:E$77))/(SUMIF('2019 CNESER'!C$4:C$77,C45,'2019 CNESER'!E$4:E$77))</f>
        <v>1.2499595030988625E-2</v>
      </c>
      <c r="G45" s="208">
        <v>71342164</v>
      </c>
      <c r="H45" s="182">
        <f>(SUMIF(C$4:C$76,C45,G$4:G$76)-SUMIF('2019 CNESER'!C$4:C$77,C45,'2019 CNESER'!F$4:F$77))/(SUMIF('2019 CNESER'!C$4:C$77,C45,'2019 CNESER'!F$4:F$77))</f>
        <v>7.9000636509000029E-3</v>
      </c>
      <c r="I45" s="141">
        <v>851</v>
      </c>
      <c r="J45" s="143">
        <v>851</v>
      </c>
      <c r="K45" s="182">
        <f t="shared" si="5"/>
        <v>0</v>
      </c>
      <c r="L45" s="175">
        <v>10280</v>
      </c>
      <c r="M45" s="178">
        <f>(SUMIF($C$4:$C$76,$C45,$L$4:$L$76)-SUMIF('2019 CNESER'!$C$4:$C$77,'2020 CNESER'!$C45,'2019 CNESER'!$H$4:$H$77))/SUMIF('2019 CNESER'!$C$4:$C$77,'2020 CNESER'!$C45,'2019 CNESER'!$H$4:$H$77)</f>
        <v>7.8585667820795305E-2</v>
      </c>
      <c r="N45" s="36">
        <f t="shared" si="9"/>
        <v>6939.8992217898831</v>
      </c>
      <c r="O45" s="37">
        <f>I45/L45*100</f>
        <v>8.2782101167315165</v>
      </c>
      <c r="P45" s="112">
        <f t="shared" si="6"/>
        <v>0</v>
      </c>
      <c r="Q45" s="76">
        <f t="shared" si="7"/>
        <v>76496.715628672144</v>
      </c>
      <c r="R45" s="96">
        <f t="shared" si="8"/>
        <v>0.91248570761043923</v>
      </c>
    </row>
    <row r="46" spans="1:18">
      <c r="A46" s="34" t="s">
        <v>200</v>
      </c>
      <c r="B46" s="35" t="s">
        <v>18</v>
      </c>
      <c r="C46" s="141" t="s">
        <v>30</v>
      </c>
      <c r="D46" s="141" t="s">
        <v>49</v>
      </c>
      <c r="E46" s="208">
        <v>56298027</v>
      </c>
      <c r="F46" s="182">
        <f>(SUMIF(C$4:C$76,C46,E$4:E$76)-SUMIF('2019 CNESER'!C$4:C$77,C46,'2019 CNESER'!E$4:E$77))/(SUMIF('2019 CNESER'!C$4:C$77,C46,'2019 CNESER'!E$4:E$77))</f>
        <v>5.1196483336237216E-3</v>
      </c>
      <c r="G46" s="208">
        <v>60292568</v>
      </c>
      <c r="H46" s="182">
        <f>(SUMIF(C$4:C$76,C46,G$4:G$76)-SUMIF('2019 CNESER'!C$4:C$77,C46,'2019 CNESER'!F$4:F$77))/(SUMIF('2019 CNESER'!C$4:C$77,C46,'2019 CNESER'!F$4:F$77))</f>
        <v>-8.7392950376534786E-3</v>
      </c>
      <c r="I46" s="141">
        <v>746</v>
      </c>
      <c r="J46" s="143">
        <v>750</v>
      </c>
      <c r="K46" s="182">
        <f t="shared" si="5"/>
        <v>5.3619302949061663E-3</v>
      </c>
      <c r="L46" s="175">
        <v>8281</v>
      </c>
      <c r="M46" s="178">
        <f>(SUMIF($C$4:$C$76,$C46,$L$4:$L$76)-SUMIF('2019 CNESER'!$C$4:$C$77,'2020 CNESER'!$C46,'2019 CNESER'!$H$4:$H$77))/SUMIF('2019 CNESER'!$C$4:$C$77,'2020 CNESER'!$C46,'2019 CNESER'!$H$4:$H$77)</f>
        <v>1.8072289156626505E-2</v>
      </c>
      <c r="N46" s="36">
        <f t="shared" si="9"/>
        <v>7280.8317836010146</v>
      </c>
      <c r="O46" s="37">
        <f>I46/L46*100</f>
        <v>9.0085738437386791</v>
      </c>
      <c r="P46" s="112">
        <f t="shared" si="6"/>
        <v>4</v>
      </c>
      <c r="Q46" s="76">
        <f t="shared" si="7"/>
        <v>75064.035999999993</v>
      </c>
      <c r="R46" s="96">
        <f t="shared" si="8"/>
        <v>0.93374737330809998</v>
      </c>
    </row>
    <row r="47" spans="1:18">
      <c r="A47" s="34" t="s">
        <v>200</v>
      </c>
      <c r="B47" s="35" t="s">
        <v>6</v>
      </c>
      <c r="C47" s="141" t="s">
        <v>11</v>
      </c>
      <c r="D47" s="141" t="s">
        <v>3</v>
      </c>
      <c r="E47" s="208">
        <v>45934360</v>
      </c>
      <c r="F47" s="182">
        <f>(SUMIF(C$4:C$76,C47,E$4:E$76)-SUMIF('2019 CNESER'!C$4:C$77,C47,'2019 CNESER'!E$4:E$77))/(SUMIF('2019 CNESER'!C$4:C$77,C47,'2019 CNESER'!E$4:E$77))</f>
        <v>2.3320241587587796E-2</v>
      </c>
      <c r="G47" s="208">
        <v>50775915</v>
      </c>
      <c r="H47" s="182">
        <f>(SUMIF(C$4:C$76,C47,G$4:G$76)-SUMIF('2019 CNESER'!C$4:C$77,C47,'2019 CNESER'!F$4:F$77))/(SUMIF('2019 CNESER'!C$4:C$77,C47,'2019 CNESER'!F$4:F$77))</f>
        <v>1.423314489743756E-2</v>
      </c>
      <c r="I47" s="141">
        <v>639</v>
      </c>
      <c r="J47" s="143">
        <v>638</v>
      </c>
      <c r="K47" s="182">
        <f t="shared" si="5"/>
        <v>-1.5649452269170579E-3</v>
      </c>
      <c r="L47" s="175">
        <v>6946</v>
      </c>
      <c r="M47" s="178">
        <f>(SUMIF($C$4:$C$76,$C47,$L$4:$L$76)-SUMIF('2019 CNESER'!$C$4:$C$77,'2020 CNESER'!$C47,'2019 CNESER'!$H$4:$H$77))/SUMIF('2019 CNESER'!$C$4:$C$77,'2020 CNESER'!$C47,'2019 CNESER'!$H$4:$H$77)</f>
        <v>-1.1504170261719873E-3</v>
      </c>
      <c r="N47" s="36">
        <f t="shared" si="9"/>
        <v>7310.0942988770512</v>
      </c>
      <c r="O47" s="37">
        <f>J47/L47*100</f>
        <v>9.1851425280737118</v>
      </c>
      <c r="P47" s="112">
        <f t="shared" si="6"/>
        <v>-1</v>
      </c>
      <c r="Q47" s="76">
        <f t="shared" si="7"/>
        <v>71997.429467084643</v>
      </c>
      <c r="R47" s="96">
        <f t="shared" si="8"/>
        <v>0.90464859175851386</v>
      </c>
    </row>
    <row r="48" spans="1:18">
      <c r="A48" s="34" t="s">
        <v>200</v>
      </c>
      <c r="B48" s="35" t="s">
        <v>18</v>
      </c>
      <c r="C48" s="141" t="s">
        <v>42</v>
      </c>
      <c r="D48" s="141" t="s">
        <v>57</v>
      </c>
      <c r="E48" s="208">
        <v>68147524</v>
      </c>
      <c r="F48" s="182">
        <f>(SUMIF(C$4:C$76,C48,E$4:E$76)-SUMIF('2019 CNESER'!C$4:C$77,C48,'2019 CNESER'!E$4:E$77))/(SUMIF('2019 CNESER'!C$4:C$77,C48,'2019 CNESER'!E$4:E$77))</f>
        <v>8.7127528719384128E-3</v>
      </c>
      <c r="G48" s="208">
        <v>74923908</v>
      </c>
      <c r="H48" s="182">
        <f>(SUMIF(C$4:C$76,C48,G$4:G$76)-SUMIF('2019 CNESER'!C$4:C$77,C48,'2019 CNESER'!F$4:F$77))/(SUMIF('2019 CNESER'!C$4:C$77,C48,'2019 CNESER'!F$4:F$77))</f>
        <v>-1.8942238906776827E-3</v>
      </c>
      <c r="I48" s="141">
        <v>940</v>
      </c>
      <c r="J48" s="143">
        <v>942</v>
      </c>
      <c r="K48" s="182">
        <f t="shared" si="5"/>
        <v>2.1276595744680851E-3</v>
      </c>
      <c r="L48" s="175">
        <v>10237</v>
      </c>
      <c r="M48" s="178">
        <f>(SUMIF($C$4:$C$76,$C48,$L$4:$L$76)-SUMIF('2019 CNESER'!$C$4:$C$77,'2020 CNESER'!$C48,'2019 CNESER'!$H$4:$H$77))/SUMIF('2019 CNESER'!$C$4:$C$77,'2020 CNESER'!$C48,'2019 CNESER'!$H$4:$H$77)</f>
        <v>2.0739854422175689E-2</v>
      </c>
      <c r="N48" s="36">
        <f t="shared" si="9"/>
        <v>7318.932109016313</v>
      </c>
      <c r="O48" s="37">
        <f>I48/L48*100</f>
        <v>9.1823776497020617</v>
      </c>
      <c r="P48" s="112">
        <f t="shared" si="6"/>
        <v>2</v>
      </c>
      <c r="Q48" s="76">
        <f t="shared" si="7"/>
        <v>72343.443736730362</v>
      </c>
      <c r="R48" s="96">
        <f t="shared" si="8"/>
        <v>0.90955645292821619</v>
      </c>
    </row>
    <row r="49" spans="1:21">
      <c r="A49" s="34" t="s">
        <v>200</v>
      </c>
      <c r="B49" s="35" t="s">
        <v>6</v>
      </c>
      <c r="C49" s="141" t="s">
        <v>47</v>
      </c>
      <c r="D49" s="141" t="s">
        <v>14</v>
      </c>
      <c r="E49" s="208">
        <v>85093336</v>
      </c>
      <c r="F49" s="182">
        <f>(SUMIF(C$4:C$76,C49,E$4:E$76)-SUMIF('2019 CNESER'!C$4:C$77,C49,'2019 CNESER'!E$4:E$77))/(SUMIF('2019 CNESER'!C$4:C$77,C49,'2019 CNESER'!E$4:E$77))</f>
        <v>1.0900811435578264E-2</v>
      </c>
      <c r="G49" s="208">
        <v>92530725</v>
      </c>
      <c r="H49" s="182">
        <f>(SUMIF(C$4:C$76,C49,G$4:G$76)-SUMIF('2019 CNESER'!C$4:C$77,C49,'2019 CNESER'!F$4:F$77))/(SUMIF('2019 CNESER'!C$4:C$77,C49,'2019 CNESER'!F$4:F$77))</f>
        <v>4.9313254340825662E-3</v>
      </c>
      <c r="I49" s="142">
        <v>1130</v>
      </c>
      <c r="J49" s="143">
        <v>1132</v>
      </c>
      <c r="K49" s="182">
        <f t="shared" si="5"/>
        <v>1.7699115044247787E-3</v>
      </c>
      <c r="L49" s="175">
        <v>12619</v>
      </c>
      <c r="M49" s="178">
        <f>(SUMIF($C$4:$C$76,$C49,$L$4:$L$76)-SUMIF('2019 CNESER'!$C$4:$C$77,'2020 CNESER'!$C49,'2019 CNESER'!$H$4:$H$77))/SUMIF('2019 CNESER'!$C$4:$C$77,'2020 CNESER'!$C49,'2019 CNESER'!$H$4:$H$77)</f>
        <v>3.2482408771068567E-2</v>
      </c>
      <c r="N49" s="36">
        <f t="shared" si="9"/>
        <v>7332.6511609477775</v>
      </c>
      <c r="O49" s="37">
        <f>J49/L49*100</f>
        <v>8.9705998890561851</v>
      </c>
      <c r="P49" s="112">
        <f t="shared" si="6"/>
        <v>2</v>
      </c>
      <c r="Q49" s="76">
        <f t="shared" si="7"/>
        <v>75170.791519434628</v>
      </c>
      <c r="R49" s="96">
        <f t="shared" si="8"/>
        <v>0.91962249296112186</v>
      </c>
    </row>
    <row r="50" spans="1:21">
      <c r="A50" s="34" t="s">
        <v>200</v>
      </c>
      <c r="B50" s="35" t="s">
        <v>4</v>
      </c>
      <c r="C50" s="141" t="s">
        <v>46</v>
      </c>
      <c r="D50" s="141" t="s">
        <v>254</v>
      </c>
      <c r="E50" s="208">
        <v>128190596</v>
      </c>
      <c r="F50" s="182">
        <f>(SUMIF(C$4:C$76,C50,E$4:E$76)-SUMIF('2019 CNESER'!C$4:C$77,C50,'2019 CNESER'!E$4:E$77))/(SUMIF('2019 CNESER'!C$4:C$77,C50,'2019 CNESER'!E$4:E$77))</f>
        <v>7.9191063092761537E-3</v>
      </c>
      <c r="G50" s="208">
        <v>140711267</v>
      </c>
      <c r="H50" s="182">
        <f>(SUMIF(C$4:C$76,C50,G$4:G$76)-SUMIF('2019 CNESER'!C$4:C$77,C50,'2019 CNESER'!F$4:F$77))/(SUMIF('2019 CNESER'!C$4:C$77,C50,'2019 CNESER'!F$4:F$77))</f>
        <v>4.6010183839617063E-3</v>
      </c>
      <c r="I50" s="142">
        <v>1803</v>
      </c>
      <c r="J50" s="143">
        <v>1804</v>
      </c>
      <c r="K50" s="182">
        <f t="shared" si="5"/>
        <v>5.5463117027176932E-4</v>
      </c>
      <c r="L50" s="175">
        <v>18592</v>
      </c>
      <c r="M50" s="178">
        <f>(SUMIF($C$4:$C$76,$C50,$L$4:$L$76)-SUMIF('2019 CNESER'!$C$4:$C$77,'2020 CNESER'!$C50,'2019 CNESER'!$H$4:$H$77))/SUMIF('2019 CNESER'!$C$4:$C$77,'2020 CNESER'!$C50,'2019 CNESER'!$H$4:$H$77)</f>
        <v>3.0211480362537764E-3</v>
      </c>
      <c r="N50" s="36">
        <f t="shared" si="9"/>
        <v>7568.3770976764199</v>
      </c>
      <c r="O50" s="37">
        <f>J50/L50*100</f>
        <v>9.7030981067125648</v>
      </c>
      <c r="P50" s="112">
        <f t="shared" si="6"/>
        <v>1</v>
      </c>
      <c r="Q50" s="76">
        <f t="shared" si="7"/>
        <v>71059.088691796016</v>
      </c>
      <c r="R50" s="96">
        <f t="shared" si="8"/>
        <v>0.91101870328550161</v>
      </c>
      <c r="S50" s="97">
        <f>(0.92*G50-P50)/Q50</f>
        <v>1821.7847572107394</v>
      </c>
      <c r="T50" s="98">
        <f>(I50+S50)/L50*100</f>
        <v>19.496475673465678</v>
      </c>
      <c r="U50" s="94">
        <f>0.02*G50</f>
        <v>2814225.34</v>
      </c>
    </row>
    <row r="51" spans="1:21">
      <c r="A51" s="34" t="s">
        <v>200</v>
      </c>
      <c r="B51" s="35" t="s">
        <v>4</v>
      </c>
      <c r="C51" s="141" t="s">
        <v>24</v>
      </c>
      <c r="D51" s="141" t="s">
        <v>247</v>
      </c>
      <c r="E51" s="208">
        <v>65456392</v>
      </c>
      <c r="F51" s="182">
        <f>(SUMIF(C$4:C$76,C51,E$4:E$76)-SUMIF('2019 CNESER'!C$4:C$77,C51,'2019 CNESER'!E$4:E$77))/(SUMIF('2019 CNESER'!C$4:C$77,C51,'2019 CNESER'!E$4:E$77))</f>
        <v>5.4159208384088825E-3</v>
      </c>
      <c r="G51" s="208">
        <v>71634373</v>
      </c>
      <c r="H51" s="182">
        <f>(SUMIF(C$4:C$76,C51,G$4:G$76)-SUMIF('2019 CNESER'!C$4:C$77,C51,'2019 CNESER'!F$4:F$77))/(SUMIF('2019 CNESER'!C$4:C$77,C51,'2019 CNESER'!F$4:F$77))</f>
        <v>2.6965613904680859E-3</v>
      </c>
      <c r="I51" s="141">
        <v>945</v>
      </c>
      <c r="J51" s="143">
        <v>945</v>
      </c>
      <c r="K51" s="182">
        <f t="shared" si="5"/>
        <v>0</v>
      </c>
      <c r="L51" s="175">
        <v>9461</v>
      </c>
      <c r="M51" s="178">
        <f>(SUMIF($C$4:$C$76,$C51,$L$4:$L$76)-SUMIF('2019 CNESER'!$C$4:$C$77,'2020 CNESER'!$C51,'2019 CNESER'!$H$4:$H$77))/SUMIF('2019 CNESER'!$C$4:$C$77,'2020 CNESER'!$C51,'2019 CNESER'!$H$4:$H$77)</f>
        <v>2.4139424117774411E-2</v>
      </c>
      <c r="N51" s="36">
        <f t="shared" si="9"/>
        <v>7571.5434943452065</v>
      </c>
      <c r="O51" s="37">
        <f>I51/L51*100</f>
        <v>9.9883733220589779</v>
      </c>
      <c r="P51" s="112">
        <f t="shared" si="6"/>
        <v>0</v>
      </c>
      <c r="Q51" s="76">
        <f t="shared" si="7"/>
        <v>69266.02328042328</v>
      </c>
      <c r="R51" s="96">
        <f t="shared" si="8"/>
        <v>0.91375675194365136</v>
      </c>
    </row>
    <row r="52" spans="1:21">
      <c r="A52" s="34" t="s">
        <v>200</v>
      </c>
      <c r="B52" s="35" t="s">
        <v>4</v>
      </c>
      <c r="C52" s="141" t="s">
        <v>45</v>
      </c>
      <c r="D52" s="141" t="s">
        <v>45</v>
      </c>
      <c r="E52" s="208">
        <v>24834169</v>
      </c>
      <c r="F52" s="182">
        <f>(SUMIF(C$4:C$76,C52,E$4:E$76)-SUMIF('2019 CNESER'!C$4:C$77,C52,'2019 CNESER'!E$4:E$77))/(SUMIF('2019 CNESER'!C$4:C$77,C52,'2019 CNESER'!E$4:E$77))</f>
        <v>1.0241839690184848E-2</v>
      </c>
      <c r="G52" s="208">
        <v>27317213</v>
      </c>
      <c r="H52" s="182">
        <f>(SUMIF(C$4:C$76,C52,G$4:G$76)-SUMIF('2019 CNESER'!C$4:C$77,C52,'2019 CNESER'!F$4:F$77))/(SUMIF('2019 CNESER'!C$4:C$77,C52,'2019 CNESER'!F$4:F$77))</f>
        <v>1.4751268615699922E-3</v>
      </c>
      <c r="I52" s="141">
        <v>241</v>
      </c>
      <c r="J52" s="143">
        <v>241</v>
      </c>
      <c r="K52" s="182">
        <f t="shared" si="5"/>
        <v>0</v>
      </c>
      <c r="L52" s="175">
        <v>3260</v>
      </c>
      <c r="M52" s="178">
        <f>(SUMIF($C$4:$C$76,$C52,$L$4:$L$76)-SUMIF('2019 CNESER'!$C$4:$C$77,'2020 CNESER'!$C52,'2019 CNESER'!$H$4:$H$77))/SUMIF('2019 CNESER'!$C$4:$C$77,'2020 CNESER'!$C52,'2019 CNESER'!$H$4:$H$77)</f>
        <v>8.3416417414423391E-2</v>
      </c>
      <c r="N52" s="36">
        <f t="shared" si="9"/>
        <v>8379.5131901840487</v>
      </c>
      <c r="O52" s="37">
        <f>I52/L52*100</f>
        <v>7.3926380368098163</v>
      </c>
      <c r="P52" s="112">
        <f t="shared" si="6"/>
        <v>0</v>
      </c>
      <c r="Q52" s="76">
        <f t="shared" si="7"/>
        <v>103046.34439834025</v>
      </c>
      <c r="R52" s="96">
        <f t="shared" si="8"/>
        <v>0.90910331884881523</v>
      </c>
    </row>
    <row r="53" spans="1:21">
      <c r="A53" s="34" t="s">
        <v>200</v>
      </c>
      <c r="B53" s="35" t="s">
        <v>4</v>
      </c>
      <c r="C53" s="141" t="s">
        <v>31</v>
      </c>
      <c r="D53" s="141" t="s">
        <v>54</v>
      </c>
      <c r="E53" s="208">
        <v>56475117</v>
      </c>
      <c r="F53" s="182">
        <f>(SUMIF(C$4:C$76,C53,E$4:E$76)-SUMIF('2019 CNESER'!C$4:C$77,C53,'2019 CNESER'!E$4:E$77))/(SUMIF('2019 CNESER'!C$4:C$77,C53,'2019 CNESER'!E$4:E$77))</f>
        <v>1.1164087823111913E-2</v>
      </c>
      <c r="G53" s="208">
        <v>63045064</v>
      </c>
      <c r="H53" s="182">
        <f>(SUMIF(C$4:C$76,C53,G$4:G$76)-SUMIF('2019 CNESER'!C$4:C$77,C53,'2019 CNESER'!F$4:F$77))/(SUMIF('2019 CNESER'!C$4:C$77,C53,'2019 CNESER'!F$4:F$77))</f>
        <v>4.2600686387843237E-3</v>
      </c>
      <c r="I53" s="141">
        <v>764</v>
      </c>
      <c r="J53" s="143">
        <v>764</v>
      </c>
      <c r="K53" s="182">
        <f t="shared" si="5"/>
        <v>0</v>
      </c>
      <c r="L53" s="175">
        <v>7445</v>
      </c>
      <c r="M53" s="178">
        <f>(SUMIF($C$4:$C$76,$C53,$L$4:$L$76)-SUMIF('2019 CNESER'!$C$4:$C$77,'2020 CNESER'!$C53,'2019 CNESER'!$H$4:$H$77))/SUMIF('2019 CNESER'!$C$4:$C$77,'2020 CNESER'!$C53,'2019 CNESER'!$H$4:$H$77)</f>
        <v>-2.2965879265091863E-2</v>
      </c>
      <c r="N53" s="36">
        <f t="shared" si="9"/>
        <v>8468.1079919409003</v>
      </c>
      <c r="O53" s="37">
        <f>I53/L53*100</f>
        <v>10.261920752182672</v>
      </c>
      <c r="P53" s="112">
        <f t="shared" si="6"/>
        <v>0</v>
      </c>
      <c r="Q53" s="76">
        <f t="shared" si="7"/>
        <v>73920.310209424089</v>
      </c>
      <c r="R53" s="96">
        <f t="shared" si="8"/>
        <v>0.89578966879944799</v>
      </c>
    </row>
    <row r="54" spans="1:21">
      <c r="A54" s="34" t="s">
        <v>200</v>
      </c>
      <c r="B54" s="35" t="s">
        <v>18</v>
      </c>
      <c r="C54" s="141" t="s">
        <v>22</v>
      </c>
      <c r="D54" s="141" t="s">
        <v>250</v>
      </c>
      <c r="E54" s="208">
        <v>39969505</v>
      </c>
      <c r="F54" s="182">
        <f>(SUMIF(C$4:C$76,C54,E$4:E$76)-SUMIF('2019 CNESER'!C$4:C$77,C54,'2019 CNESER'!E$4:E$77))/(SUMIF('2019 CNESER'!C$4:C$77,C54,'2019 CNESER'!E$4:E$77))</f>
        <v>2.4191933434130921E-2</v>
      </c>
      <c r="G54" s="208">
        <v>40820358</v>
      </c>
      <c r="H54" s="182">
        <f>(SUMIF(C$4:C$76,C54,G$4:G$76)-SUMIF('2019 CNESER'!C$4:C$77,C54,'2019 CNESER'!F$4:F$77))/(SUMIF('2019 CNESER'!C$4:C$77,C54,'2019 CNESER'!F$4:F$77))</f>
        <v>2.5678600926354031E-2</v>
      </c>
      <c r="I54" s="141">
        <v>593</v>
      </c>
      <c r="J54" s="143">
        <v>605</v>
      </c>
      <c r="K54" s="182">
        <f t="shared" si="5"/>
        <v>2.0236087689713321E-2</v>
      </c>
      <c r="L54" s="175">
        <v>4660</v>
      </c>
      <c r="M54" s="178">
        <f>(SUMIF($C$4:$C$76,$C54,$L$4:$L$76)-SUMIF('2019 CNESER'!$C$4:$C$77,'2020 CNESER'!$C54,'2019 CNESER'!$H$4:$H$77))/SUMIF('2019 CNESER'!$C$4:$C$77,'2020 CNESER'!$C54,'2019 CNESER'!$H$4:$H$77)</f>
        <v>0.11456589332695527</v>
      </c>
      <c r="N54" s="36">
        <f t="shared" si="9"/>
        <v>8759.7334763948493</v>
      </c>
      <c r="O54" s="37">
        <f>J54/L54*100</f>
        <v>12.98283261802575</v>
      </c>
      <c r="P54" s="112">
        <f t="shared" si="6"/>
        <v>12</v>
      </c>
      <c r="Q54" s="76">
        <f t="shared" si="7"/>
        <v>66065.297520661159</v>
      </c>
      <c r="R54" s="96">
        <f t="shared" si="8"/>
        <v>0.97915616026689423</v>
      </c>
    </row>
    <row r="55" spans="1:21">
      <c r="A55" s="34" t="s">
        <v>200</v>
      </c>
      <c r="B55" s="35" t="s">
        <v>8</v>
      </c>
      <c r="C55" s="141" t="s">
        <v>50</v>
      </c>
      <c r="D55" s="141" t="s">
        <v>256</v>
      </c>
      <c r="E55" s="208">
        <v>25002069</v>
      </c>
      <c r="F55" s="182">
        <f>(SUMIF(C$4:C$76,C55,E$4:E$76)-SUMIF('2019 CNESER'!C$4:C$77,C55,'2019 CNESER'!E$4:E$77))/(SUMIF('2019 CNESER'!C$4:C$77,C55,'2019 CNESER'!E$4:E$77))</f>
        <v>1.0092452979441309E-2</v>
      </c>
      <c r="G55" s="208">
        <v>27347037</v>
      </c>
      <c r="H55" s="182">
        <f>(SUMIF(C$4:C$76,C55,G$4:G$76)-SUMIF('2019 CNESER'!C$4:C$77,C55,'2019 CNESER'!F$4:F$77))/(SUMIF('2019 CNESER'!C$4:C$77,C55,'2019 CNESER'!F$4:F$77))</f>
        <v>1.2051340210328904E-2</v>
      </c>
      <c r="I55" s="141">
        <v>220</v>
      </c>
      <c r="J55" s="143">
        <v>227</v>
      </c>
      <c r="K55" s="182">
        <f t="shared" si="5"/>
        <v>3.1818181818181815E-2</v>
      </c>
      <c r="L55" s="175">
        <v>2847</v>
      </c>
      <c r="M55" s="178">
        <f>(SUMIF($C$4:$C$76,$C55,$L$4:$L$76)-SUMIF('2019 CNESER'!$C$4:$C$77,'2020 CNESER'!$C55,'2019 CNESER'!$H$4:$H$77))/SUMIF('2019 CNESER'!$C$4:$C$77,'2020 CNESER'!$C55,'2019 CNESER'!$H$4:$H$77)</f>
        <v>9.2165898617511521E-3</v>
      </c>
      <c r="N55" s="36">
        <f t="shared" si="9"/>
        <v>9605.5626975763971</v>
      </c>
      <c r="O55" s="37">
        <f t="shared" ref="O55:O63" si="10">I55/L55*100</f>
        <v>7.7274323849666313</v>
      </c>
      <c r="P55" s="112">
        <f t="shared" si="6"/>
        <v>7</v>
      </c>
      <c r="Q55" s="76">
        <f t="shared" si="7"/>
        <v>110141.2731277533</v>
      </c>
      <c r="R55" s="96">
        <f t="shared" si="8"/>
        <v>0.91425147814002661</v>
      </c>
    </row>
    <row r="56" spans="1:21">
      <c r="A56" s="42" t="s">
        <v>198</v>
      </c>
      <c r="B56" s="43" t="s">
        <v>18</v>
      </c>
      <c r="C56" s="147" t="s">
        <v>161</v>
      </c>
      <c r="D56" s="147" t="s">
        <v>243</v>
      </c>
      <c r="E56" s="209">
        <v>279785893</v>
      </c>
      <c r="F56" s="184">
        <f>(SUMIF(C$4:C$76,C56,E$4:E$76)-SUMIF('2019 CNESER'!C$4:C$77,C56,'2019 CNESER'!E$4:E$77))/(SUMIF('2019 CNESER'!C$4:C$77,C56,'2019 CNESER'!E$4:E$77))</f>
        <v>2.4198661144518891E-3</v>
      </c>
      <c r="G56" s="209">
        <v>303705160</v>
      </c>
      <c r="H56" s="184">
        <f>(SUMIF(C$4:C$76,C56,G$4:G$76)-SUMIF('2019 CNESER'!C$4:C$77,C56,'2019 CNESER'!F$4:F$77))/(SUMIF('2019 CNESER'!C$4:C$77,C56,'2019 CNESER'!F$4:F$77))</f>
        <v>1.789018992950573E-3</v>
      </c>
      <c r="I56" s="148">
        <v>4111</v>
      </c>
      <c r="J56" s="149">
        <v>4095</v>
      </c>
      <c r="K56" s="184">
        <f t="shared" si="5"/>
        <v>-3.8919970810021892E-3</v>
      </c>
      <c r="L56" s="174">
        <v>46068</v>
      </c>
      <c r="M56" s="179">
        <f>(SUMIF($C$4:$C$76,$C56,$L$4:$L$76)-SUMIF('2019 CNESER'!$C$4:$C$77,'2020 CNESER'!$C56,'2019 CNESER'!$H$4:$H$77))/SUMIF('2019 CNESER'!$C$4:$C$77,'2020 CNESER'!$C56,'2019 CNESER'!$H$4:$H$77)</f>
        <v>0.1178297583228186</v>
      </c>
      <c r="N56" s="45">
        <f t="shared" si="9"/>
        <v>6592.5405921680995</v>
      </c>
      <c r="O56" s="46">
        <f t="shared" si="10"/>
        <v>8.9237648693236089</v>
      </c>
      <c r="P56" s="112">
        <f t="shared" si="6"/>
        <v>-16</v>
      </c>
      <c r="Q56" s="76">
        <f t="shared" si="7"/>
        <v>68323.783394383398</v>
      </c>
      <c r="R56" s="96">
        <f t="shared" si="8"/>
        <v>0.92124181558192819</v>
      </c>
    </row>
    <row r="57" spans="1:21">
      <c r="A57" s="42" t="s">
        <v>198</v>
      </c>
      <c r="B57" s="43" t="s">
        <v>6</v>
      </c>
      <c r="C57" s="147" t="s">
        <v>52</v>
      </c>
      <c r="D57" s="147" t="s">
        <v>246</v>
      </c>
      <c r="E57" s="209">
        <v>192144981</v>
      </c>
      <c r="F57" s="184">
        <f>(SUMIF(C$4:C$76,C57,E$4:E$76)-SUMIF('2019 CNESER'!C$4:C$77,C57,'2019 CNESER'!E$4:E$77))/(SUMIF('2019 CNESER'!C$4:C$77,C57,'2019 CNESER'!E$4:E$77))</f>
        <v>7.4777143149570334E-3</v>
      </c>
      <c r="G57" s="209">
        <v>213785163</v>
      </c>
      <c r="H57" s="184">
        <f>(SUMIF(C$4:C$76,C57,G$4:G$76)-SUMIF('2019 CNESER'!C$4:C$77,C57,'2019 CNESER'!F$4:F$77))/(SUMIF('2019 CNESER'!C$4:C$77,C57,'2019 CNESER'!F$4:F$77))</f>
        <v>2.5587139691125959E-3</v>
      </c>
      <c r="I57" s="147">
        <v>2985</v>
      </c>
      <c r="J57" s="149">
        <v>2797</v>
      </c>
      <c r="K57" s="184">
        <f t="shared" si="5"/>
        <v>-6.2981574539363483E-2</v>
      </c>
      <c r="L57" s="174">
        <v>28703</v>
      </c>
      <c r="M57" s="179">
        <f>(SUMIF($C$4:$C$76,$C57,$L$4:$L$76)-SUMIF('2019 CNESER'!$C$4:$C$77,'2020 CNESER'!$C57,'2019 CNESER'!$H$4:$H$77))/SUMIF('2019 CNESER'!$C$4:$C$77,'2020 CNESER'!$C57,'2019 CNESER'!$H$4:$H$77)</f>
        <v>0.10779621767657276</v>
      </c>
      <c r="N57" s="45">
        <f t="shared" si="9"/>
        <v>7448.1818276835174</v>
      </c>
      <c r="O57" s="46">
        <f t="shared" si="10"/>
        <v>10.399609796885342</v>
      </c>
      <c r="P57" s="112">
        <f t="shared" si="6"/>
        <v>-188</v>
      </c>
      <c r="Q57" s="76">
        <f t="shared" si="7"/>
        <v>68696.811226313905</v>
      </c>
      <c r="R57" s="96">
        <f t="shared" si="8"/>
        <v>0.89877603433125053</v>
      </c>
    </row>
    <row r="58" spans="1:21">
      <c r="A58" s="42" t="s">
        <v>198</v>
      </c>
      <c r="B58" s="43" t="s">
        <v>284</v>
      </c>
      <c r="C58" s="147" t="s">
        <v>255</v>
      </c>
      <c r="D58" s="147" t="s">
        <v>255</v>
      </c>
      <c r="E58" s="209">
        <v>453392177</v>
      </c>
      <c r="F58" s="184" t="e">
        <f>(SUMIF(A$4:A$76,A58,E$4:E$76)-SUMIF('2019 CNESER'!A$4:A$77,"PARIS V Descartes",'2019 CNESER'!E$4:E$77)-SUMIF('2019 CNESER'!A$4:A$77,"PARIS VII Diderot",'2019 CNESER'!E$4:E$77))/(SUMIF('2019 CNESER'!A$4:A$77,"PARIS V Descartes",'2019 CNESER'!E$4:E$77)+SUMIF('2019 CNESER'!A$4:A$77,"PARIS VII Diderot",'2019 CNESER'!E$4:E$77))</f>
        <v>#DIV/0!</v>
      </c>
      <c r="G58" s="209">
        <v>490508614</v>
      </c>
      <c r="H58" s="184">
        <f>(SUMIF(C$4:C$76,C58,G$4:G$76)-SUMIF('2019 CNESER'!C$4:C$77,"PARIS V Descartes",'2019 CNESER'!F$4:F$77)-SUMIF('2019 CNESER'!C$4:C$77,"PARIS VII Diderot",'2019 CNESER'!F$4:F$77))/(SUMIF('2019 CNESER'!C$4:C$77,"PARIS V Descartes",'2019 CNESER'!F$4:F$77)+SUMIF('2019 CNESER'!C$4:C$77,"PARIS VII Diderot",'2019 CNESER'!F$4:F$77))</f>
        <v>-1.2273459708841977E-2</v>
      </c>
      <c r="I58" s="148">
        <v>6577</v>
      </c>
      <c r="J58" s="149">
        <v>6564</v>
      </c>
      <c r="K58" s="184">
        <f t="shared" si="5"/>
        <v>-1.9765850691804772E-3</v>
      </c>
      <c r="L58" s="44">
        <v>57565</v>
      </c>
      <c r="M58" s="179">
        <f>(SUMIF($C$4:$C$76,$C58,$L$4:$L$76)-SUMIF('2019 CNESER'!$C$4:$C$77,"PARIS V Descartes",'2019 CNESER'!$H$4:$H$77)-SUMIF('2019 CNESER'!$C$4:$C$77,"PARIS VII Diderot",'2019 CNESER'!$H$4:$H$77))/(SUMIF('2019 CNESER'!$C$4:$C$77,"PARIS V Descartes",'2019 CNESER'!$H$4:$H$77)+-SUMIF('2019 CNESER'!$C$4:$C$77,"PARIS VII Diderot",'2019 CNESER'!$H$4:$H$77))</f>
        <v>0.24170681348933243</v>
      </c>
      <c r="N58" s="45">
        <f t="shared" si="9"/>
        <v>8520.9522105446013</v>
      </c>
      <c r="O58" s="46">
        <f t="shared" si="10"/>
        <v>11.425345261877878</v>
      </c>
      <c r="P58" s="112"/>
      <c r="Q58" s="76">
        <f t="shared" si="7"/>
        <v>69072.543723339433</v>
      </c>
      <c r="R58" s="96">
        <f t="shared" si="8"/>
        <v>0.92433071318091065</v>
      </c>
    </row>
    <row r="59" spans="1:21">
      <c r="A59" s="42" t="s">
        <v>198</v>
      </c>
      <c r="B59" s="43" t="s">
        <v>6</v>
      </c>
      <c r="C59" s="147" t="s">
        <v>177</v>
      </c>
      <c r="D59" s="147" t="s">
        <v>257</v>
      </c>
      <c r="E59" s="209">
        <v>267392465</v>
      </c>
      <c r="F59" s="184">
        <f>(SUMIF(C$4:C$76,C59,E$4:E$76)-SUMIF('2019 CNESER'!C$4:C$77,C59,'2019 CNESER'!E$4:E$77))/(SUMIF('2019 CNESER'!C$4:C$77,C59,'2019 CNESER'!E$4:E$77))</f>
        <v>4.536043832786725E-3</v>
      </c>
      <c r="G59" s="209">
        <v>295005981</v>
      </c>
      <c r="H59" s="184">
        <f>(SUMIF(C$4:C$76,C59,G$4:G$76)-SUMIF('2019 CNESER'!C$4:C$77,C59,'2019 CNESER'!F$4:F$77))/(SUMIF('2019 CNESER'!C$4:C$77,C59,'2019 CNESER'!F$4:F$77))</f>
        <v>1.9720277769816885E-3</v>
      </c>
      <c r="I59" s="148">
        <v>3921</v>
      </c>
      <c r="J59" s="149">
        <v>3904</v>
      </c>
      <c r="K59" s="184">
        <f t="shared" si="5"/>
        <v>-4.3356286661565928E-3</v>
      </c>
      <c r="L59" s="174">
        <v>33512</v>
      </c>
      <c r="M59" s="179">
        <f>(SUMIF($C$4:$C$76,$C59,$L$4:$L$76)-SUMIF('2019 CNESER'!$C$4:$C$77,'2020 CNESER'!$C59,'2019 CNESER'!$H$4:$H$77))/SUMIF('2019 CNESER'!$C$4:$C$77,'2020 CNESER'!$C59,'2019 CNESER'!$H$4:$H$77)</f>
        <v>0.11669443518827058</v>
      </c>
      <c r="N59" s="45">
        <f t="shared" si="9"/>
        <v>8802.9953747911204</v>
      </c>
      <c r="O59" s="46">
        <f t="shared" si="10"/>
        <v>11.700286464550013</v>
      </c>
      <c r="P59" s="112">
        <f t="shared" ref="P59:P71" si="11">J59-I59</f>
        <v>-17</v>
      </c>
      <c r="Q59" s="76">
        <f t="shared" si="7"/>
        <v>68491.922387295082</v>
      </c>
      <c r="R59" s="96">
        <f t="shared" si="8"/>
        <v>0.90639675878300241</v>
      </c>
    </row>
    <row r="60" spans="1:21">
      <c r="A60" s="18" t="s">
        <v>211</v>
      </c>
      <c r="B60" s="19" t="s">
        <v>39</v>
      </c>
      <c r="C60" s="150" t="s">
        <v>162</v>
      </c>
      <c r="D60" s="150" t="s">
        <v>243</v>
      </c>
      <c r="E60" s="210">
        <v>109058204</v>
      </c>
      <c r="F60" s="187">
        <f>(SUMIF(C$4:C$76,C60,E$4:E$76)-SUMIF('2019 CNESER'!C$4:C$77,C60,'2019 CNESER'!E$4:E$77))/(SUMIF('2019 CNESER'!C$4:C$77,C60,'2019 CNESER'!E$4:E$77))</f>
        <v>1.8772232617453963E-3</v>
      </c>
      <c r="G60" s="210">
        <v>118794175</v>
      </c>
      <c r="H60" s="187">
        <f>(SUMIF(C$4:C$76,C60,G$4:G$76)-SUMIF('2019 CNESER'!C$4:C$77,C60,'2019 CNESER'!F$4:F$77))/(SUMIF('2019 CNESER'!C$4:C$77,C60,'2019 CNESER'!F$4:F$77))</f>
        <v>-8.6406787190684766E-4</v>
      </c>
      <c r="I60" s="151">
        <v>1559</v>
      </c>
      <c r="J60" s="152">
        <v>1555</v>
      </c>
      <c r="K60" s="187">
        <f t="shared" si="5"/>
        <v>-2.5657472738935213E-3</v>
      </c>
      <c r="L60" s="176">
        <v>26998</v>
      </c>
      <c r="M60" s="180">
        <f>(SUMIF($C$4:$C$76,$C60,$L$4:$L$76)-SUMIF('2019 CNESER'!$C$4:$C$77,'2020 CNESER'!$C60,'2019 CNESER'!$H$4:$H$77))/SUMIF('2019 CNESER'!$C$4:$C$77,'2020 CNESER'!$C60,'2019 CNESER'!$H$4:$H$77)</f>
        <v>-1.8325939931641336E-2</v>
      </c>
      <c r="N60" s="20">
        <f t="shared" si="9"/>
        <v>4400.1101933476557</v>
      </c>
      <c r="O60" s="21">
        <f t="shared" si="10"/>
        <v>5.7745018149492555</v>
      </c>
      <c r="P60" s="112">
        <f t="shared" si="11"/>
        <v>-4</v>
      </c>
      <c r="Q60" s="76">
        <f t="shared" si="7"/>
        <v>70133.893247588421</v>
      </c>
      <c r="R60" s="96">
        <f t="shared" si="8"/>
        <v>0.91804336365819283</v>
      </c>
    </row>
    <row r="61" spans="1:21">
      <c r="A61" s="24" t="s">
        <v>211</v>
      </c>
      <c r="B61" s="19" t="s">
        <v>39</v>
      </c>
      <c r="C61" s="150" t="s">
        <v>171</v>
      </c>
      <c r="D61" s="150" t="s">
        <v>41</v>
      </c>
      <c r="E61" s="210">
        <v>84642800</v>
      </c>
      <c r="F61" s="187">
        <f>(SUMIF(C$4:C$76,C61,E$4:E$76)-SUMIF('2019 CNESER'!C$4:C$77,C61,'2019 CNESER'!E$4:E$77))/(SUMIF('2019 CNESER'!C$4:C$77,C61,'2019 CNESER'!E$4:E$77))</f>
        <v>1.0814895856728703E-2</v>
      </c>
      <c r="G61" s="210">
        <v>93438594</v>
      </c>
      <c r="H61" s="187">
        <f>(SUMIF(C$4:C$76,C61,G$4:G$76)-SUMIF('2019 CNESER'!C$4:C$77,C61,'2019 CNESER'!F$4:F$77))/(SUMIF('2019 CNESER'!C$4:C$77,C61,'2019 CNESER'!F$4:F$77))</f>
        <v>3.9482032972581282E-5</v>
      </c>
      <c r="I61" s="151">
        <v>1245</v>
      </c>
      <c r="J61" s="152">
        <v>1252</v>
      </c>
      <c r="K61" s="187">
        <f t="shared" si="5"/>
        <v>5.6224899598393578E-3</v>
      </c>
      <c r="L61" s="176">
        <v>20975</v>
      </c>
      <c r="M61" s="180">
        <f>(SUMIF($C$4:$C$76,$C61,$L$4:$L$76)-SUMIF('2019 CNESER'!$C$4:$C$77,'2020 CNESER'!$C61,'2019 CNESER'!$H$4:$H$77))/SUMIF('2019 CNESER'!$C$4:$C$77,'2020 CNESER'!$C61,'2019 CNESER'!$H$4:$H$77)</f>
        <v>7.3384166624021294E-2</v>
      </c>
      <c r="N61" s="20">
        <f t="shared" si="9"/>
        <v>4454.7601430274135</v>
      </c>
      <c r="O61" s="21">
        <f t="shared" si="10"/>
        <v>5.9356376638855783</v>
      </c>
      <c r="P61" s="112">
        <f t="shared" si="11"/>
        <v>7</v>
      </c>
      <c r="Q61" s="76">
        <f t="shared" si="7"/>
        <v>67606.070287539929</v>
      </c>
      <c r="R61" s="96">
        <f t="shared" si="8"/>
        <v>0.90586551420069528</v>
      </c>
    </row>
    <row r="62" spans="1:21">
      <c r="A62" s="24" t="s">
        <v>211</v>
      </c>
      <c r="B62" s="19" t="s">
        <v>6</v>
      </c>
      <c r="C62" s="150" t="s">
        <v>53</v>
      </c>
      <c r="D62" s="150" t="s">
        <v>246</v>
      </c>
      <c r="E62" s="210">
        <v>87984525</v>
      </c>
      <c r="F62" s="187">
        <f>(SUMIF(C$4:C$76,C62,E$4:E$76)-SUMIF('2019 CNESER'!C$4:C$77,C62,'2019 CNESER'!E$4:E$77))/(SUMIF('2019 CNESER'!C$4:C$77,C62,'2019 CNESER'!E$4:E$77))</f>
        <v>1.3552567525042867E-2</v>
      </c>
      <c r="G62" s="210">
        <v>94884032</v>
      </c>
      <c r="H62" s="187">
        <f>(SUMIF(C$4:C$76,C62,G$4:G$76)-SUMIF('2019 CNESER'!C$4:C$77,C62,'2019 CNESER'!F$4:F$77))/(SUMIF('2019 CNESER'!C$4:C$77,C62,'2019 CNESER'!F$4:F$77))</f>
        <v>5.3329438469441395E-3</v>
      </c>
      <c r="I62" s="151">
        <v>1216</v>
      </c>
      <c r="J62" s="152">
        <v>1230</v>
      </c>
      <c r="K62" s="187">
        <f t="shared" si="5"/>
        <v>1.1513157894736841E-2</v>
      </c>
      <c r="L62" s="176">
        <v>20435</v>
      </c>
      <c r="M62" s="180">
        <f>(SUMIF($C$4:$C$76,$C62,$L$4:$L$76)-SUMIF('2019 CNESER'!$C$4:$C$77,'2020 CNESER'!$C62,'2019 CNESER'!$H$4:$H$77))/SUMIF('2019 CNESER'!$C$4:$C$77,'2020 CNESER'!$C62,'2019 CNESER'!$H$4:$H$77)</f>
        <v>4.7693971875307304E-3</v>
      </c>
      <c r="N62" s="20">
        <f t="shared" si="9"/>
        <v>4643.2117445559088</v>
      </c>
      <c r="O62" s="21">
        <f t="shared" si="10"/>
        <v>5.9505749938830439</v>
      </c>
      <c r="P62" s="112">
        <f t="shared" si="11"/>
        <v>14</v>
      </c>
      <c r="Q62" s="76">
        <f t="shared" si="7"/>
        <v>71532.134146341457</v>
      </c>
      <c r="R62" s="96">
        <f t="shared" si="8"/>
        <v>0.92728484598968142</v>
      </c>
    </row>
    <row r="63" spans="1:21">
      <c r="A63" s="18" t="s">
        <v>211</v>
      </c>
      <c r="B63" s="19" t="s">
        <v>4</v>
      </c>
      <c r="C63" s="150" t="s">
        <v>176</v>
      </c>
      <c r="D63" s="150" t="s">
        <v>257</v>
      </c>
      <c r="E63" s="210">
        <v>142950045</v>
      </c>
      <c r="F63" s="187">
        <f>(SUMIF(C$4:C$76,C63,E$4:E$76)-SUMIF('2019 CNESER'!C$4:C$77,C63,'2019 CNESER'!E$4:E$77))/(SUMIF('2019 CNESER'!C$4:C$77,C63,'2019 CNESER'!E$4:E$77))</f>
        <v>5.7406914823541601E-3</v>
      </c>
      <c r="G63" s="210">
        <v>153735470</v>
      </c>
      <c r="H63" s="187">
        <f>(SUMIF(C$4:C$76,C63,G$4:G$76)-SUMIF('2019 CNESER'!C$4:C$77,C63,'2019 CNESER'!F$4:F$77))/(SUMIF('2019 CNESER'!C$4:C$77,C63,'2019 CNESER'!F$4:F$77))</f>
        <v>-4.2102075536358731E-2</v>
      </c>
      <c r="I63" s="151">
        <v>2041</v>
      </c>
      <c r="J63" s="152">
        <v>2041</v>
      </c>
      <c r="K63" s="187">
        <f t="shared" si="5"/>
        <v>0</v>
      </c>
      <c r="L63" s="176">
        <v>29981</v>
      </c>
      <c r="M63" s="180">
        <f>(SUMIF($C$4:$C$76,$C63,$L$4:$L$76)-SUMIF('2019 CNESER'!$C$4:$C$77,'2020 CNESER'!$C63,'2019 CNESER'!$H$4:$H$77))/SUMIF('2019 CNESER'!$C$4:$C$77,'2020 CNESER'!$C63,'2019 CNESER'!$H$4:$H$77)</f>
        <v>1.9103300588055337E-2</v>
      </c>
      <c r="N63" s="20">
        <f t="shared" si="9"/>
        <v>5127.7632500583704</v>
      </c>
      <c r="O63" s="21">
        <f t="shared" si="10"/>
        <v>6.8076448417330973</v>
      </c>
      <c r="P63" s="112">
        <f t="shared" si="11"/>
        <v>0</v>
      </c>
      <c r="Q63" s="76">
        <f t="shared" si="7"/>
        <v>70039.218520333176</v>
      </c>
      <c r="R63" s="96">
        <f t="shared" si="8"/>
        <v>0.92984426430673417</v>
      </c>
    </row>
    <row r="64" spans="1:21">
      <c r="A64" s="18" t="s">
        <v>211</v>
      </c>
      <c r="B64" s="19" t="s">
        <v>4</v>
      </c>
      <c r="C64" s="150" t="s">
        <v>199</v>
      </c>
      <c r="D64" s="150" t="s">
        <v>14</v>
      </c>
      <c r="E64" s="210">
        <v>73744622</v>
      </c>
      <c r="F64" s="187">
        <f>(SUMIF(C$4:C$76,C64,E$4:E$76)-SUMIF('2019 CNESER'!C$4:C$77,C64,'2019 CNESER'!E$4:E$77))/(SUMIF('2019 CNESER'!C$4:C$77,C64,'2019 CNESER'!E$4:E$77))</f>
        <v>1.0371870817954237E-2</v>
      </c>
      <c r="G64" s="210">
        <v>79685280</v>
      </c>
      <c r="H64" s="187">
        <f>(SUMIF(C$4:C$76,C64,G$4:G$76)-SUMIF('2019 CNESER'!C$4:C$77,C64,'2019 CNESER'!F$4:F$77))/(SUMIF('2019 CNESER'!C$4:C$77,C64,'2019 CNESER'!F$4:F$77))</f>
        <v>3.7333180700736789E-3</v>
      </c>
      <c r="I64" s="150">
        <v>985</v>
      </c>
      <c r="J64" s="152">
        <v>988</v>
      </c>
      <c r="K64" s="187">
        <f t="shared" si="5"/>
        <v>3.0456852791878172E-3</v>
      </c>
      <c r="L64" s="176">
        <v>15301</v>
      </c>
      <c r="M64" s="180">
        <f>(SUMIF($C$4:$C$76,$C64,$L$4:$L$76)-SUMIF('2019 CNESER'!$C$4:$C$77,'2020 CNESER'!$C64,'2019 CNESER'!$H$4:$H$77))/SUMIF('2019 CNESER'!$C$4:$C$77,'2020 CNESER'!$C64,'2019 CNESER'!$H$4:$H$77)</f>
        <v>-7.8459343794579171E-3</v>
      </c>
      <c r="N64" s="20">
        <f t="shared" si="9"/>
        <v>5207.8478530814982</v>
      </c>
      <c r="O64" s="21">
        <f>J64/L64*100</f>
        <v>6.4570943075615981</v>
      </c>
      <c r="P64" s="112">
        <f t="shared" si="11"/>
        <v>3</v>
      </c>
      <c r="Q64" s="76">
        <f t="shared" si="7"/>
        <v>74640.305668016197</v>
      </c>
      <c r="R64" s="96">
        <f t="shared" si="8"/>
        <v>0.92544848935713098</v>
      </c>
    </row>
    <row r="65" spans="1:22">
      <c r="A65" s="18" t="s">
        <v>211</v>
      </c>
      <c r="B65" s="19" t="s">
        <v>39</v>
      </c>
      <c r="C65" s="150" t="s">
        <v>167</v>
      </c>
      <c r="D65" s="150" t="s">
        <v>252</v>
      </c>
      <c r="E65" s="210">
        <v>117052925</v>
      </c>
      <c r="F65" s="187">
        <f>(SUMIF(C$4:C$76,C65,E$4:E$76)-SUMIF('2019 CNESER'!C$4:C$77,C65,'2019 CNESER'!E$4:E$77))/(SUMIF('2019 CNESER'!C$4:C$77,C65,'2019 CNESER'!E$4:E$77))</f>
        <v>1.1364445501740051E-2</v>
      </c>
      <c r="G65" s="210">
        <v>122705403</v>
      </c>
      <c r="H65" s="187">
        <f>(SUMIF(C$4:C$76,C65,G$4:G$76)-SUMIF('2019 CNESER'!C$4:C$77,C65,'2019 CNESER'!F$4:F$77))/(SUMIF('2019 CNESER'!C$4:C$77,C65,'2019 CNESER'!F$4:F$77))</f>
        <v>4.9832443008165214E-3</v>
      </c>
      <c r="I65" s="151">
        <v>1530</v>
      </c>
      <c r="J65" s="152">
        <v>1526</v>
      </c>
      <c r="K65" s="187">
        <f t="shared" si="5"/>
        <v>-2.6143790849673201E-3</v>
      </c>
      <c r="L65" s="176">
        <v>23148</v>
      </c>
      <c r="M65" s="180">
        <f>(SUMIF($C$4:$C$76,$C65,$L$4:$L$76)-SUMIF('2019 CNESER'!$C$4:$C$77,'2020 CNESER'!$C65,'2019 CNESER'!$H$4:$H$77))/SUMIF('2019 CNESER'!$C$4:$C$77,'2020 CNESER'!$C65,'2019 CNESER'!$H$4:$H$77)</f>
        <v>-1.6150969058143488E-2</v>
      </c>
      <c r="N65" s="20">
        <f t="shared" si="9"/>
        <v>5300.9073354069469</v>
      </c>
      <c r="O65" s="21">
        <f>J65/L65*100</f>
        <v>6.5923621911180232</v>
      </c>
      <c r="P65" s="112">
        <f t="shared" si="11"/>
        <v>-4</v>
      </c>
      <c r="Q65" s="76">
        <f t="shared" si="7"/>
        <v>76705.717562254256</v>
      </c>
      <c r="R65" s="96">
        <f t="shared" si="8"/>
        <v>0.95393456309336278</v>
      </c>
    </row>
    <row r="66" spans="1:22">
      <c r="A66" s="18" t="s">
        <v>211</v>
      </c>
      <c r="B66" s="19" t="s">
        <v>39</v>
      </c>
      <c r="C66" s="150" t="s">
        <v>168</v>
      </c>
      <c r="D66" s="150" t="s">
        <v>247</v>
      </c>
      <c r="E66" s="210">
        <v>159243715</v>
      </c>
      <c r="F66" s="187">
        <f>(SUMIF(C$4:C$76,C66,E$4:E$76)-SUMIF('2019 CNESER'!C$4:C$77,C66,'2019 CNESER'!E$4:E$77))/(SUMIF('2019 CNESER'!C$4:C$77,C66,'2019 CNESER'!E$4:E$77))</f>
        <v>1.6117445581684441E-2</v>
      </c>
      <c r="G66" s="210">
        <v>170379291</v>
      </c>
      <c r="H66" s="187">
        <f>(SUMIF(C$4:C$76,C66,G$4:G$76)-SUMIF('2019 CNESER'!C$4:C$77,C66,'2019 CNESER'!F$4:F$77))/(SUMIF('2019 CNESER'!C$4:C$77,C66,'2019 CNESER'!F$4:F$77))</f>
        <v>5.8850839343986151E-3</v>
      </c>
      <c r="I66" s="151">
        <v>2154</v>
      </c>
      <c r="J66" s="152">
        <v>2149</v>
      </c>
      <c r="K66" s="187">
        <f t="shared" si="5"/>
        <v>-2.321262766945218E-3</v>
      </c>
      <c r="L66" s="176">
        <v>30656</v>
      </c>
      <c r="M66" s="180">
        <f>(SUMIF($C$4:$C$76,$C66,$L$4:$L$76)-SUMIF('2019 CNESER'!$C$4:$C$77,'2020 CNESER'!$C66,'2019 CNESER'!$H$4:$H$77))/SUMIF('2019 CNESER'!$C$4:$C$77,'2020 CNESER'!$C66,'2019 CNESER'!$H$4:$H$77)</f>
        <v>2.9001074113856069E-2</v>
      </c>
      <c r="N66" s="20">
        <f t="shared" si="9"/>
        <v>5557.7795863778701</v>
      </c>
      <c r="O66" s="21">
        <f>I66/L66*100</f>
        <v>7.0263569937369512</v>
      </c>
      <c r="P66" s="112">
        <f t="shared" si="11"/>
        <v>-5</v>
      </c>
      <c r="Q66" s="76">
        <f t="shared" si="7"/>
        <v>74101.309911586781</v>
      </c>
      <c r="R66" s="96">
        <f t="shared" si="8"/>
        <v>0.93464243257122137</v>
      </c>
    </row>
    <row r="67" spans="1:22">
      <c r="A67" s="18" t="s">
        <v>211</v>
      </c>
      <c r="B67" s="19" t="s">
        <v>4</v>
      </c>
      <c r="C67" s="150" t="s">
        <v>172</v>
      </c>
      <c r="D67" s="150" t="s">
        <v>255</v>
      </c>
      <c r="E67" s="210">
        <v>86126059</v>
      </c>
      <c r="F67" s="187">
        <f>(SUMIF(C$4:C$76,C67,E$4:E$76)-SUMIF('2019 CNESER'!C$4:C$77,C67,'2019 CNESER'!E$4:E$77))/(SUMIF('2019 CNESER'!C$4:C$77,C67,'2019 CNESER'!E$4:E$77))</f>
        <v>9.1017219908499699E-3</v>
      </c>
      <c r="G67" s="210">
        <v>94399118</v>
      </c>
      <c r="H67" s="187">
        <f>(SUMIF(C$4:C$76,C67,G$4:G$76)-SUMIF('2019 CNESER'!C$4:C$77,C67,'2019 CNESER'!F$4:F$77))/(SUMIF('2019 CNESER'!C$4:C$77,C67,'2019 CNESER'!F$4:F$77))</f>
        <v>-2.2725978710403123E-4</v>
      </c>
      <c r="I67" s="151">
        <v>1173</v>
      </c>
      <c r="J67" s="152">
        <v>1168</v>
      </c>
      <c r="K67" s="187">
        <f t="shared" si="5"/>
        <v>-4.2625745950554137E-3</v>
      </c>
      <c r="L67" s="176">
        <v>15978</v>
      </c>
      <c r="M67" s="180">
        <f>(SUMIF($C$4:$C$76,$C67,$L$4:$L$76)-SUMIF('2019 CNESER'!$C$4:$C$77,'2020 CNESER'!$C67,'2019 CNESER'!$H$4:$H$77))/SUMIF('2019 CNESER'!$C$4:$C$77,'2020 CNESER'!$C67,'2019 CNESER'!$H$4:$H$77)</f>
        <v>-8.9933635179557155E-3</v>
      </c>
      <c r="N67" s="20">
        <f t="shared" si="9"/>
        <v>5908.0684691450742</v>
      </c>
      <c r="O67" s="21">
        <f>I67/L67*100</f>
        <v>7.3413443484791587</v>
      </c>
      <c r="P67" s="112">
        <f t="shared" si="11"/>
        <v>-5</v>
      </c>
      <c r="Q67" s="76">
        <f t="shared" si="7"/>
        <v>73738.064212328769</v>
      </c>
      <c r="R67" s="96">
        <f t="shared" si="8"/>
        <v>0.91236084430365127</v>
      </c>
    </row>
    <row r="68" spans="1:22">
      <c r="A68" s="17" t="s">
        <v>212</v>
      </c>
      <c r="B68" s="14" t="s">
        <v>6</v>
      </c>
      <c r="C68" s="155" t="s">
        <v>160</v>
      </c>
      <c r="D68" s="155" t="s">
        <v>243</v>
      </c>
      <c r="E68" s="211">
        <v>84354613</v>
      </c>
      <c r="F68" s="186">
        <f>(SUMIF(C$4:C$76,C68,E$4:E$76)-SUMIF('2019 CNESER'!C$4:C$77,C68,'2019 CNESER'!E$4:E$77))/(SUMIF('2019 CNESER'!C$4:C$77,C68,'2019 CNESER'!E$4:E$77))</f>
        <v>3.5843072981989769E-3</v>
      </c>
      <c r="G68" s="211">
        <v>91063751</v>
      </c>
      <c r="H68" s="186">
        <f>(SUMIF(C$4:C$76,C68,G$4:G$76)-SUMIF('2019 CNESER'!C$4:C$77,C68,'2019 CNESER'!F$4:F$77))/(SUMIF('2019 CNESER'!C$4:C$77,C68,'2019 CNESER'!F$4:F$77))</f>
        <v>6.5060488243977007E-4</v>
      </c>
      <c r="I68" s="156">
        <v>1206</v>
      </c>
      <c r="J68" s="157">
        <v>1203</v>
      </c>
      <c r="K68" s="186">
        <f t="shared" ref="K68:K71" si="12">(J68-I68)/I68</f>
        <v>-2.4875621890547263E-3</v>
      </c>
      <c r="L68" s="177">
        <v>25219</v>
      </c>
      <c r="M68" s="181">
        <f>(SUMIF($C$4:$C$76,$C68,$L$4:$L$76)-SUMIF('2019 CNESER'!$C$4:$C$77,'2020 CNESER'!$C68,'2019 CNESER'!$H$4:$H$77))/SUMIF('2019 CNESER'!$C$4:$C$77,'2020 CNESER'!$C68,'2019 CNESER'!$H$4:$H$77)</f>
        <v>-7.744366403277729E-2</v>
      </c>
      <c r="N68" s="15">
        <f t="shared" si="9"/>
        <v>3610.9183948610175</v>
      </c>
      <c r="O68" s="16">
        <f>I68/L68*100</f>
        <v>4.7821087275466914</v>
      </c>
      <c r="P68" s="112">
        <f t="shared" si="11"/>
        <v>-3</v>
      </c>
      <c r="Q68" s="76">
        <f t="shared" si="7"/>
        <v>70120.210307564426</v>
      </c>
      <c r="R68" s="96">
        <f t="shared" si="8"/>
        <v>0.92632482270579874</v>
      </c>
    </row>
    <row r="69" spans="1:22">
      <c r="A69" s="17" t="s">
        <v>212</v>
      </c>
      <c r="B69" s="14" t="s">
        <v>6</v>
      </c>
      <c r="C69" s="155" t="s">
        <v>163</v>
      </c>
      <c r="D69" s="155" t="s">
        <v>255</v>
      </c>
      <c r="E69" s="211">
        <v>65398458</v>
      </c>
      <c r="F69" s="186">
        <f>(SUMIF(C$4:C$76,C69,E$4:E$76)-SUMIF('2019 CNESER'!C$4:C$77,C69,'2019 CNESER'!E$4:E$77))/(SUMIF('2019 CNESER'!C$4:C$77,C69,'2019 CNESER'!E$4:E$77))</f>
        <v>2.697427000871248E-3</v>
      </c>
      <c r="G69" s="211">
        <v>70714158</v>
      </c>
      <c r="H69" s="186">
        <f>(SUMIF(C$4:C$76,C69,G$4:G$76)-SUMIF('2019 CNESER'!C$4:C$77,C69,'2019 CNESER'!F$4:F$77))/(SUMIF('2019 CNESER'!C$4:C$77,C69,'2019 CNESER'!F$4:F$77))</f>
        <v>-4.6026162060940778E-4</v>
      </c>
      <c r="I69" s="155">
        <v>926</v>
      </c>
      <c r="J69" s="157">
        <v>926</v>
      </c>
      <c r="K69" s="186">
        <f t="shared" si="12"/>
        <v>0</v>
      </c>
      <c r="L69" s="177">
        <v>17560</v>
      </c>
      <c r="M69" s="181">
        <f>(SUMIF($C$4:$C$76,$C69,$L$4:$L$76)-SUMIF('2019 CNESER'!$C$4:$C$77,'2020 CNESER'!$C69,'2019 CNESER'!$H$4:$H$77))/SUMIF('2019 CNESER'!$C$4:$C$77,'2020 CNESER'!$C69,'2019 CNESER'!$H$4:$H$77)</f>
        <v>9.7176700592260367E-3</v>
      </c>
      <c r="N69" s="15">
        <f t="shared" si="9"/>
        <v>4027.0021640091118</v>
      </c>
      <c r="O69" s="16">
        <f>I69/L69*100</f>
        <v>5.2733485193621865</v>
      </c>
      <c r="P69" s="112">
        <f t="shared" si="11"/>
        <v>0</v>
      </c>
      <c r="Q69" s="76">
        <f t="shared" si="7"/>
        <v>70624.684665226785</v>
      </c>
      <c r="R69" s="96">
        <f t="shared" si="8"/>
        <v>0.92482834908392741</v>
      </c>
    </row>
    <row r="70" spans="1:22">
      <c r="A70" s="17" t="s">
        <v>212</v>
      </c>
      <c r="B70" s="14" t="s">
        <v>18</v>
      </c>
      <c r="C70" s="155" t="s">
        <v>175</v>
      </c>
      <c r="D70" s="155" t="s">
        <v>257</v>
      </c>
      <c r="E70" s="211">
        <v>74883735</v>
      </c>
      <c r="F70" s="186">
        <f>(SUMIF(C$4:C$76,C70,E$4:E$76)-SUMIF('2019 CNESER'!C$4:C$77,C70,'2019 CNESER'!E$4:E$77))/(SUMIF('2019 CNESER'!C$4:C$77,C70,'2019 CNESER'!E$4:E$77))</f>
        <v>4.6163629488221386E-3</v>
      </c>
      <c r="G70" s="211">
        <v>85064091</v>
      </c>
      <c r="H70" s="186">
        <f>(SUMIF(C$4:C$76,C70,G$4:G$76)-SUMIF('2019 CNESER'!C$4:C$77,C70,'2019 CNESER'!F$4:F$77))/(SUMIF('2019 CNESER'!C$4:C$77,C70,'2019 CNESER'!F$4:F$77))</f>
        <v>1.1557814689610322E-3</v>
      </c>
      <c r="I70" s="156">
        <v>1030</v>
      </c>
      <c r="J70" s="157">
        <v>1031</v>
      </c>
      <c r="K70" s="186">
        <f t="shared" si="12"/>
        <v>9.7087378640776695E-4</v>
      </c>
      <c r="L70" s="177">
        <v>19352</v>
      </c>
      <c r="M70" s="181">
        <f>(SUMIF($C$4:$C$76,$C70,$L$4:$L$76)-SUMIF('2019 CNESER'!$C$4:$C$77,'2020 CNESER'!$C70,'2019 CNESER'!$H$4:$H$77))/SUMIF('2019 CNESER'!$C$4:$C$77,'2020 CNESER'!$C70,'2019 CNESER'!$H$4:$H$77)</f>
        <v>9.3100237922830252E-4</v>
      </c>
      <c r="N70" s="15">
        <f t="shared" si="9"/>
        <v>4395.6227263331957</v>
      </c>
      <c r="O70" s="16">
        <f>I70/L70*100</f>
        <v>5.3224472922695334</v>
      </c>
      <c r="P70" s="112">
        <f t="shared" si="11"/>
        <v>1</v>
      </c>
      <c r="Q70" s="76">
        <f t="shared" si="7"/>
        <v>72632.138700290976</v>
      </c>
      <c r="R70" s="96">
        <f t="shared" si="8"/>
        <v>0.88032134499620995</v>
      </c>
    </row>
    <row r="71" spans="1:22">
      <c r="A71" s="17" t="s">
        <v>212</v>
      </c>
      <c r="B71" s="14" t="s">
        <v>4</v>
      </c>
      <c r="C71" s="155" t="s">
        <v>164</v>
      </c>
      <c r="D71" s="155" t="s">
        <v>255</v>
      </c>
      <c r="E71" s="211">
        <v>164589796</v>
      </c>
      <c r="F71" s="186">
        <f>(SUMIF(C$4:C$76,C71,E$4:E$76)-SUMIF('2019 CNESER'!C$4:C$77,C71,'2019 CNESER'!E$4:E$77))/(SUMIF('2019 CNESER'!C$4:C$77,C71,'2019 CNESER'!E$4:E$77))</f>
        <v>7.0124902803656809E-3</v>
      </c>
      <c r="G71" s="211">
        <v>179053639</v>
      </c>
      <c r="H71" s="186">
        <f>(SUMIF(C$4:C$76,C71,G$4:G$76)-SUMIF('2019 CNESER'!C$4:C$77,C71,'2019 CNESER'!F$4:F$77))/(SUMIF('2019 CNESER'!C$4:C$77,C71,'2019 CNESER'!F$4:F$77))</f>
        <v>-2.2662500123077334E-3</v>
      </c>
      <c r="I71" s="156">
        <v>2340</v>
      </c>
      <c r="J71" s="157">
        <v>2323</v>
      </c>
      <c r="K71" s="186">
        <f t="shared" si="12"/>
        <v>-7.2649572649572652E-3</v>
      </c>
      <c r="L71" s="177">
        <v>38515</v>
      </c>
      <c r="M71" s="181">
        <f>(SUMIF($C$4:$C$76,$C71,$L$4:$L$76)-SUMIF('2019 CNESER'!$C$4:$C$77,'2020 CNESER'!$C71,'2019 CNESER'!$H$4:$H$77))/SUMIF('2019 CNESER'!$C$4:$C$77,'2020 CNESER'!$C71,'2019 CNESER'!$H$4:$H$77)</f>
        <v>6.0601311286994225E-3</v>
      </c>
      <c r="N71" s="15">
        <f t="shared" si="9"/>
        <v>4648.9325976892123</v>
      </c>
      <c r="O71" s="16">
        <f>J71/L71*100</f>
        <v>6.0314163312994937</v>
      </c>
      <c r="P71" s="112">
        <f t="shared" si="11"/>
        <v>-17</v>
      </c>
      <c r="Q71" s="76">
        <f t="shared" si="7"/>
        <v>70852.258286698241</v>
      </c>
      <c r="R71" s="96">
        <f t="shared" si="8"/>
        <v>0.91922061410882583</v>
      </c>
    </row>
    <row r="72" spans="1:22">
      <c r="B72" s="53" t="s">
        <v>61</v>
      </c>
      <c r="C72" s="159" t="s">
        <v>196</v>
      </c>
      <c r="D72" s="160">
        <f>G72-'2019 CNESER'!F73</f>
        <v>13510219</v>
      </c>
      <c r="E72" s="193">
        <f>SUM(E4:E71)</f>
        <v>10103461744</v>
      </c>
      <c r="F72" s="194">
        <f>(E72-'2019 CNESER'!E73)/'2019 CNESER'!E73</f>
        <v>7.3972148914239312E-3</v>
      </c>
      <c r="G72" s="193">
        <f>SUM(G4:G71)</f>
        <v>11071623948</v>
      </c>
      <c r="H72" s="194">
        <f>(SUMIF(C$4:C$76,C72,G$4:G$76)-SUMIF('2019 CNESER'!C$4:C$77,C72,'2019 CNESER'!F$4:F$77))/(SUMIF('2019 CNESER'!C$4:C$77,C72,'2019 CNESER'!F$4:F$77))</f>
        <v>1.2217471560786476E-3</v>
      </c>
      <c r="I72" s="193">
        <v>143587</v>
      </c>
      <c r="J72" s="193">
        <f>SUM(J4:J71)</f>
        <v>145006.31719999999</v>
      </c>
      <c r="K72" s="195">
        <f t="shared" ref="K72" si="13">(J72-I72)/I72</f>
        <v>9.8847193687450138E-3</v>
      </c>
      <c r="L72" s="52">
        <f>SUM(L4:L71)</f>
        <v>1732327</v>
      </c>
      <c r="M72" s="185">
        <f>(SUMIF($C$4:$C$76,$C72,$L$4:$L$76)-SUMIF('2019 CNESER'!$C$4:$C$77,'2020 CNESER'!$C72,'2019 CNESER'!$H$4:$H$77))/SUMIF('2019 CNESER'!$C$4:$C$77,'2020 CNESER'!$C72,'2019 CNESER'!$H$4:$H$77)</f>
        <v>8.6206031694675708E-2</v>
      </c>
      <c r="N72" s="288">
        <f t="shared" ref="N72" si="14">G72/L72</f>
        <v>6391.1859296772491</v>
      </c>
      <c r="O72" s="289">
        <f t="shared" ref="O72:O76" si="15">I72/L72*100</f>
        <v>8.2886775995525088</v>
      </c>
      <c r="P72" s="113">
        <f>SUM(P4:P71)</f>
        <v>1342.3172</v>
      </c>
      <c r="Q72" s="95">
        <f t="shared" ref="Q72" si="16">P72/I72</f>
        <v>9.3484591223439439E-3</v>
      </c>
      <c r="S72" t="s">
        <v>295</v>
      </c>
      <c r="T72" t="s">
        <v>296</v>
      </c>
      <c r="U72" s="99">
        <f>D72/35000</f>
        <v>386.00625714285712</v>
      </c>
      <c r="V72" t="s">
        <v>297</v>
      </c>
    </row>
    <row r="73" spans="1:22">
      <c r="B73" s="244"/>
      <c r="C73" s="245" t="s">
        <v>214</v>
      </c>
      <c r="D73" s="245"/>
      <c r="E73" s="246">
        <f>SUMIF(A4:A71,"UTALLSHS",E4:E71)+SUMIF(A4:A71,"UTDEG",E4:E71)</f>
        <v>1250029497</v>
      </c>
      <c r="F73" s="247">
        <f>(E73-'2019 CNESER'!E74)/'2019 CNESER'!E74</f>
        <v>-3.2898813031609991E-2</v>
      </c>
      <c r="G73" s="246">
        <f>SUMIF(A4:A71,"UTALLSHS",G4:G71)+SUMIF(A4:A71,"UTDEG",G4:G71)</f>
        <v>1353917002</v>
      </c>
      <c r="H73" s="247">
        <f>(SUMIF(C$4:C$76,C73,G$4:G$76)-SUMIF('2019 CNESER'!C$4:C$77,C73,'2019 CNESER'!F$4:F$77))/(SUMIF('2019 CNESER'!C$4:C$77,C73,'2019 CNESER'!F$4:F$77))</f>
        <v>-4.4662149745756136E-2</v>
      </c>
      <c r="I73" s="246">
        <f>SUMIF(A4:A71,"UTALLSHS",I4:I71)+SUMIF(A4:A71,"UTDEG",I4:I71)</f>
        <v>17405</v>
      </c>
      <c r="J73" s="246">
        <f>SUMIF(A4:A71,"UTALLSHS",J4:J71)+SUMIF(A4:A71,"UTDEG",J4:J71)</f>
        <v>17392</v>
      </c>
      <c r="K73" s="246">
        <f t="shared" ref="K73:K76" si="17">(J73-I73)/I73</f>
        <v>-7.4691180695202533E-4</v>
      </c>
      <c r="L73" s="290">
        <f>SUMIF(A4:A71,"UTALLSHS",L4:L71)+SUMIF(A4:A71,"UTDEG",L4:L71)</f>
        <v>284118</v>
      </c>
      <c r="M73" s="271">
        <f>(SUMIF($C$4:$C$76,$C73,$L$4:$L$76)-SUMIF('2019 CNESER'!$C$4:$C$77,'2020 CNESER'!$C73,'2019 CNESER'!$H$4:$H$77))/SUMIF('2019 CNESER'!$C$4:$C$77,'2020 CNESER'!$C73,'2019 CNESER'!$H$4:$H$77)</f>
        <v>-3.5420012154092163E-2</v>
      </c>
      <c r="N73" s="283">
        <f t="shared" ref="N73:N76" si="18">G73/L73</f>
        <v>4765.3334248446072</v>
      </c>
      <c r="O73" s="279">
        <f t="shared" si="15"/>
        <v>6.1259758269451421</v>
      </c>
      <c r="P73" s="196">
        <f>(N73-'2019 CNESER'!I74)/'2019 CNESER'!I74</f>
        <v>-9.5815149682955611E-3</v>
      </c>
      <c r="Q73" s="103">
        <f>MIN(Q4:Q71)</f>
        <v>41018.664705882351</v>
      </c>
      <c r="R73" s="102">
        <f>MIN(R4:R71)</f>
        <v>0.85858372431173768</v>
      </c>
      <c r="S73" t="s">
        <v>298</v>
      </c>
    </row>
    <row r="74" spans="1:22">
      <c r="B74" s="250"/>
      <c r="C74" s="251" t="s">
        <v>207</v>
      </c>
      <c r="D74" s="251"/>
      <c r="E74" s="252">
        <f>SUMIF($A4:$A71,"UPavS",E4:E71)</f>
        <v>6328457957</v>
      </c>
      <c r="F74" s="253">
        <f>(E74-'2019 CNESER'!E75)/'2019 CNESER'!E75</f>
        <v>2.3961670641890479E-2</v>
      </c>
      <c r="G74" s="252">
        <f>SUMIF($A4:$A71,"UPavS",G4:G71)</f>
        <v>6961984190</v>
      </c>
      <c r="H74" s="253">
        <f>(SUMIF(C$4:C$76,C74,G$4:G$76)-SUMIF('2019 CNESER'!C$4:C$77,C74,'2019 CNESER'!F$4:F$77))/(SUMIF('2019 CNESER'!C$4:C$77,C74,'2019 CNESER'!F$4:F$77))</f>
        <v>1.9021130402961668E-2</v>
      </c>
      <c r="I74" s="252">
        <f>SUMIF($A4:$A71,"UPavS",I4:I71)</f>
        <v>90624</v>
      </c>
      <c r="J74" s="252">
        <f>SUMIF($A4:$A71,"UPavS",J4:J71)</f>
        <v>91280</v>
      </c>
      <c r="K74" s="252">
        <f t="shared" si="17"/>
        <v>7.2387005649717515E-3</v>
      </c>
      <c r="L74" s="291">
        <f>SUMIF($A4:$A71,"UPavS",L4:L71)</f>
        <v>1063161</v>
      </c>
      <c r="M74" s="273">
        <f>(SUMIF($C$4:$C$76,$C74,$L$4:$L$76)-SUMIF('2019 CNESER'!$C$4:$C$77,'2020 CNESER'!$C74,'2019 CNESER'!$H$4:$H$77))/SUMIF('2019 CNESER'!$C$4:$C$77,'2020 CNESER'!$C74,'2019 CNESER'!$H$4:$H$77)</f>
        <v>0.13639361364406444</v>
      </c>
      <c r="N74" s="284">
        <f t="shared" si="18"/>
        <v>6548.3818443302571</v>
      </c>
      <c r="O74" s="280">
        <f t="shared" si="15"/>
        <v>8.5240147070857564</v>
      </c>
      <c r="P74" s="196">
        <f>(N74-'2019 CNESER'!I75)/'2019 CNESER'!I75</f>
        <v>-0.10328506059157207</v>
      </c>
      <c r="Q74" s="103">
        <f>MAX(Q4:Q71)</f>
        <v>110141.2731277533</v>
      </c>
      <c r="R74" s="102">
        <f>MAX(R4:R71)</f>
        <v>0.97915616026689423</v>
      </c>
      <c r="S74" t="s">
        <v>299</v>
      </c>
    </row>
    <row r="75" spans="1:22">
      <c r="B75" s="256"/>
      <c r="C75" s="257" t="s">
        <v>208</v>
      </c>
      <c r="D75" s="257"/>
      <c r="E75" s="258">
        <f>SUMIF($A4:$A71,"UPhS",E4:E71)</f>
        <v>1332258774</v>
      </c>
      <c r="F75" s="259">
        <f>(E75-'2019 CNESER'!E76)/'2019 CNESER'!E76</f>
        <v>-9.5167509293784935E-3</v>
      </c>
      <c r="G75" s="258">
        <f>SUMIF($A4:$A71,"UPhS",G4:G71)</f>
        <v>1452717838</v>
      </c>
      <c r="H75" s="259">
        <f>(SUMIF(C$4:C$76,C75,G$4:G$76)-SUMIF('2019 CNESER'!C$4:C$77,C75,'2019 CNESER'!F$4:F$77))/(SUMIF('2019 CNESER'!C$4:C$77,C75,'2019 CNESER'!F$4:F$77))</f>
        <v>-1.4904849771986195E-2</v>
      </c>
      <c r="I75" s="258">
        <f>SUMIF($A4:$A71,"UPhS",I4:I71)</f>
        <v>18054</v>
      </c>
      <c r="J75" s="258">
        <f>SUMIF($A4:$A71,"UPhS",J4:J71)</f>
        <v>18974.317199999998</v>
      </c>
      <c r="K75" s="258">
        <f t="shared" si="17"/>
        <v>5.0975805915586446E-2</v>
      </c>
      <c r="L75" s="292">
        <f>SUMIF($A4:$A71,"UPhS",L4:L71)</f>
        <v>219200</v>
      </c>
      <c r="M75" s="275">
        <f>(SUMIF($C$4:$C$76,$C75,$L$4:$L$76)-SUMIF('2019 CNESER'!$C$4:$C$77,'2020 CNESER'!$C75,'2019 CNESER'!$H$4:$H$77))/SUMIF('2019 CNESER'!$C$4:$C$77,'2020 CNESER'!$C75,'2019 CNESER'!$H$4:$H$77)</f>
        <v>8.4016200899060881E-2</v>
      </c>
      <c r="N75" s="285">
        <f t="shared" si="18"/>
        <v>6627.3623996350361</v>
      </c>
      <c r="O75" s="281">
        <f t="shared" si="15"/>
        <v>8.2363138686131396</v>
      </c>
      <c r="P75" s="196">
        <f>(N75-'2019 CNESER'!I76)/'2019 CNESER'!I76</f>
        <v>-9.1254217961875536E-2</v>
      </c>
    </row>
    <row r="76" spans="1:22">
      <c r="B76" s="262"/>
      <c r="C76" s="263" t="s">
        <v>209</v>
      </c>
      <c r="D76" s="263"/>
      <c r="E76" s="264">
        <f>SUMIF($A4:$A71,"USTS",E4:E71)</f>
        <v>1192715516</v>
      </c>
      <c r="F76" s="265">
        <f>(E76-'2019 CNESER'!E77)/'2019 CNESER'!E77</f>
        <v>-1.5338261981010565E-2</v>
      </c>
      <c r="G76" s="264">
        <f>SUMIF($A4:$A71,"USTS",G4:G71)</f>
        <v>1303004918</v>
      </c>
      <c r="H76" s="265">
        <f>(SUMIF(C$4:C$76,C76,G$4:G$76)-SUMIF('2019 CNESER'!C$4:C$77,C76,'2019 CNESER'!F$4:F$77))/(SUMIF('2019 CNESER'!C$4:C$77,C76,'2019 CNESER'!F$4:F$77))</f>
        <v>-2.3360423686385471E-2</v>
      </c>
      <c r="I76" s="264">
        <f>SUMIF($A4:$A71,"USTS",I4:I71)</f>
        <v>17594</v>
      </c>
      <c r="J76" s="264">
        <f>SUMIF($A4:$A71,"USTS",J4:J71)</f>
        <v>17360</v>
      </c>
      <c r="K76" s="264">
        <f t="shared" si="17"/>
        <v>-1.3299988632488349E-2</v>
      </c>
      <c r="L76" s="293">
        <f>SUMIF($A4:$A71,"USTS",L4:L71)</f>
        <v>165848</v>
      </c>
      <c r="M76" s="277">
        <f>(SUMIF($C$4:$C$76,$C76,$L$4:$L$76)-SUMIF('2019 CNESER'!$C$4:$C$77,'2020 CNESER'!$C76,'2019 CNESER'!$H$4:$H$77))/SUMIF('2019 CNESER'!$C$4:$C$77,'2020 CNESER'!$C76,'2019 CNESER'!$H$4:$H$77)</f>
        <v>2.0458642776714681E-2</v>
      </c>
      <c r="N76" s="286">
        <f t="shared" si="18"/>
        <v>7856.6212314890745</v>
      </c>
      <c r="O76" s="282">
        <f t="shared" si="15"/>
        <v>10.608508996189283</v>
      </c>
      <c r="P76" s="196">
        <f>(N76-'2019 CNESER'!I77)/'2019 CNESER'!I77</f>
        <v>-4.294056086767653E-2</v>
      </c>
    </row>
    <row r="77" spans="1:22">
      <c r="J77" s="12">
        <f>J72-I72</f>
        <v>1419.3171999999904</v>
      </c>
      <c r="L77" s="12">
        <f>L72-'2019 CNESER'!H73</f>
        <v>137485</v>
      </c>
    </row>
    <row r="79" spans="1:22">
      <c r="B79" s="91" t="s">
        <v>149</v>
      </c>
      <c r="D79" s="90" t="s">
        <v>241</v>
      </c>
      <c r="E79" s="90"/>
      <c r="F79" s="90"/>
      <c r="G79" s="2">
        <f>AVERAGE(G4:G71)</f>
        <v>162817999.2352941</v>
      </c>
      <c r="H79" s="12"/>
      <c r="I79" s="2">
        <f>AVERAGE(I4:I71)</f>
        <v>2112.8970588235293</v>
      </c>
      <c r="L79" s="2">
        <f>AVERAGE(L4:L71)</f>
        <v>25475.397058823528</v>
      </c>
    </row>
    <row r="80" spans="1:22">
      <c r="B80" s="91" t="s">
        <v>258</v>
      </c>
      <c r="C80" s="91" t="s">
        <v>259</v>
      </c>
      <c r="D80" s="2" t="s">
        <v>245</v>
      </c>
      <c r="E80" s="2"/>
      <c r="F80" s="2"/>
      <c r="G80" s="2">
        <v>268680</v>
      </c>
      <c r="H80" s="12"/>
    </row>
    <row r="81" spans="2:11">
      <c r="B81" s="91" t="s">
        <v>258</v>
      </c>
      <c r="C81" s="91" t="s">
        <v>261</v>
      </c>
      <c r="D81" s="2" t="s">
        <v>14</v>
      </c>
      <c r="E81" s="2"/>
      <c r="F81" s="2"/>
      <c r="G81" s="2">
        <v>234253</v>
      </c>
      <c r="H81" s="92"/>
    </row>
    <row r="82" spans="2:11">
      <c r="B82" s="91" t="s">
        <v>258</v>
      </c>
      <c r="C82" s="91" t="s">
        <v>265</v>
      </c>
      <c r="D82" s="2" t="s">
        <v>17</v>
      </c>
      <c r="E82" s="2"/>
      <c r="F82" s="2"/>
      <c r="G82" s="2">
        <v>673276</v>
      </c>
      <c r="H82" s="92"/>
    </row>
    <row r="83" spans="2:11">
      <c r="B83" s="91" t="s">
        <v>258</v>
      </c>
      <c r="C83" s="91" t="s">
        <v>266</v>
      </c>
      <c r="D83" s="2" t="s">
        <v>252</v>
      </c>
      <c r="E83" s="2"/>
      <c r="F83" s="2"/>
      <c r="G83" s="2">
        <v>831980</v>
      </c>
      <c r="H83" s="93"/>
    </row>
    <row r="84" spans="2:11">
      <c r="B84" s="91" t="s">
        <v>258</v>
      </c>
      <c r="C84" s="91" t="s">
        <v>275</v>
      </c>
      <c r="D84" s="2" t="s">
        <v>41</v>
      </c>
      <c r="E84" s="2"/>
      <c r="F84" s="2"/>
      <c r="G84" s="2">
        <v>383655</v>
      </c>
      <c r="H84" s="93"/>
    </row>
    <row r="85" spans="2:11">
      <c r="B85" s="91" t="s">
        <v>258</v>
      </c>
      <c r="C85" s="91" t="s">
        <v>280</v>
      </c>
      <c r="D85" s="2" t="s">
        <v>255</v>
      </c>
      <c r="E85" s="2"/>
      <c r="F85" s="2"/>
      <c r="G85" s="2">
        <v>320836</v>
      </c>
      <c r="H85" s="93"/>
    </row>
    <row r="86" spans="2:11">
      <c r="B86" s="91" t="s">
        <v>258</v>
      </c>
      <c r="C86" s="91" t="s">
        <v>281</v>
      </c>
      <c r="D86" s="2" t="s">
        <v>255</v>
      </c>
      <c r="E86" s="2"/>
      <c r="F86" s="2"/>
      <c r="G86" s="2">
        <v>1615471</v>
      </c>
      <c r="H86" s="93"/>
    </row>
    <row r="87" spans="2:11">
      <c r="B87" s="91" t="s">
        <v>258</v>
      </c>
      <c r="C87" s="91" t="s">
        <v>282</v>
      </c>
      <c r="D87" s="2" t="s">
        <v>255</v>
      </c>
      <c r="E87" s="2"/>
      <c r="F87" s="2"/>
      <c r="G87" s="2">
        <v>1172032</v>
      </c>
      <c r="H87" s="93"/>
    </row>
    <row r="88" spans="2:11">
      <c r="B88" s="91" t="s">
        <v>258</v>
      </c>
      <c r="C88" s="91" t="s">
        <v>283</v>
      </c>
      <c r="D88" s="2" t="s">
        <v>255</v>
      </c>
      <c r="E88" s="2"/>
      <c r="F88" s="2"/>
      <c r="G88" s="2">
        <v>4257550</v>
      </c>
      <c r="H88" s="93"/>
    </row>
    <row r="89" spans="2:11">
      <c r="B89" s="91" t="s">
        <v>258</v>
      </c>
      <c r="C89" s="91" t="s">
        <v>286</v>
      </c>
      <c r="D89" s="2" t="s">
        <v>49</v>
      </c>
      <c r="E89" s="2"/>
      <c r="F89" s="2"/>
      <c r="G89" s="2">
        <v>208385</v>
      </c>
      <c r="H89" s="93"/>
    </row>
    <row r="90" spans="2:11">
      <c r="B90" s="91" t="s">
        <v>258</v>
      </c>
      <c r="C90" s="91" t="s">
        <v>288</v>
      </c>
      <c r="D90" s="2" t="s">
        <v>246</v>
      </c>
      <c r="E90" s="2"/>
      <c r="F90" s="2"/>
      <c r="G90" s="2">
        <v>200000</v>
      </c>
      <c r="H90" s="93"/>
    </row>
    <row r="91" spans="2:11">
      <c r="B91" s="91" t="s">
        <v>143</v>
      </c>
      <c r="C91" s="91" t="s">
        <v>144</v>
      </c>
      <c r="D91" s="2" t="s">
        <v>34</v>
      </c>
      <c r="E91" s="2">
        <v>24830184</v>
      </c>
      <c r="F91" s="2"/>
      <c r="G91" s="2">
        <v>27851936</v>
      </c>
      <c r="H91" s="2"/>
      <c r="I91" s="2">
        <v>401</v>
      </c>
      <c r="J91" s="2"/>
      <c r="K91" s="2"/>
    </row>
    <row r="92" spans="2:11">
      <c r="B92" s="91" t="s">
        <v>143</v>
      </c>
      <c r="C92" s="91" t="s">
        <v>145</v>
      </c>
      <c r="D92" s="2" t="s">
        <v>243</v>
      </c>
      <c r="E92" s="2">
        <v>6074503</v>
      </c>
      <c r="F92" s="2"/>
      <c r="G92" s="2">
        <v>6218554</v>
      </c>
      <c r="H92" s="2"/>
      <c r="I92" s="2">
        <v>93</v>
      </c>
      <c r="J92" s="2"/>
      <c r="K92" s="2"/>
    </row>
    <row r="93" spans="2:11">
      <c r="B93" s="91" t="s">
        <v>96</v>
      </c>
      <c r="C93" s="91" t="s">
        <v>146</v>
      </c>
      <c r="D93" s="2" t="s">
        <v>257</v>
      </c>
      <c r="E93" s="2">
        <v>5843086</v>
      </c>
      <c r="F93" s="2"/>
      <c r="G93" s="2">
        <v>6763998</v>
      </c>
      <c r="H93" s="2"/>
      <c r="I93" s="2">
        <v>72</v>
      </c>
      <c r="J93" s="2"/>
      <c r="K93" s="2"/>
    </row>
    <row r="94" spans="2:11">
      <c r="B94" s="91" t="s">
        <v>147</v>
      </c>
      <c r="C94" s="91" t="s">
        <v>148</v>
      </c>
      <c r="D94" s="2" t="s">
        <v>253</v>
      </c>
      <c r="E94" s="2"/>
      <c r="F94" s="2"/>
      <c r="G94" s="2"/>
      <c r="H94" s="2"/>
      <c r="I94" s="2">
        <v>193</v>
      </c>
      <c r="J94" s="2"/>
      <c r="K94" s="2"/>
    </row>
    <row r="95" spans="2:11">
      <c r="B95" s="1" t="s">
        <v>233</v>
      </c>
      <c r="D95" s="3"/>
      <c r="E95" s="3"/>
      <c r="F95" s="3"/>
      <c r="G95" s="3">
        <v>51383564</v>
      </c>
      <c r="H95" s="3"/>
      <c r="I95" s="3">
        <v>759</v>
      </c>
      <c r="J95" s="3"/>
      <c r="K95" s="3"/>
    </row>
  </sheetData>
  <sortState xmlns:xlrd2="http://schemas.microsoft.com/office/spreadsheetml/2017/richdata2" ref="A4:V71">
    <sortCondition ref="A4:A71"/>
    <sortCondition ref="N4:N71"/>
  </sortState>
  <dataConsolidate function="stdDev"/>
  <hyperlinks>
    <hyperlink ref="I2" r:id="rId1" xr:uid="{66FF5F6A-DAE3-4246-A4E6-7E11CB0641AA}"/>
  </hyperlinks>
  <pageMargins left="0.7" right="0.7" top="0.75" bottom="0.75" header="0.3" footer="0.3"/>
  <pageSetup paperSize="9" orientation="portrait" horizontalDpi="0" verticalDpi="0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2AB9B2-D986-1E4D-8862-E607A035F901}">
  <dimension ref="A1:X96"/>
  <sheetViews>
    <sheetView zoomScale="114" zoomScaleNormal="148" workbookViewId="0">
      <selection activeCell="AG11" sqref="AG11"/>
    </sheetView>
  </sheetViews>
  <sheetFormatPr baseColWidth="10" defaultRowHeight="16"/>
  <cols>
    <col min="1" max="1" width="9.5" customWidth="1"/>
    <col min="2" max="2" width="8.33203125" customWidth="1"/>
    <col min="3" max="3" width="18.83203125" customWidth="1"/>
    <col min="4" max="4" width="10.83203125" customWidth="1"/>
    <col min="5" max="6" width="11.83203125" customWidth="1"/>
    <col min="7" max="7" width="8" customWidth="1"/>
    <col min="8" max="8" width="9.6640625" customWidth="1"/>
    <col min="9" max="9" width="11" customWidth="1"/>
    <col min="10" max="10" width="5.83203125" customWidth="1"/>
    <col min="11" max="11" width="13.5" customWidth="1"/>
    <col min="12" max="12" width="12" customWidth="1"/>
    <col min="13" max="13" width="11.33203125" customWidth="1"/>
    <col min="14" max="14" width="11.5" customWidth="1"/>
    <col min="15" max="15" width="11.83203125" customWidth="1"/>
    <col min="16" max="16" width="12.5" customWidth="1"/>
    <col min="17" max="17" width="12.33203125" customWidth="1"/>
    <col min="18" max="18" width="13.1640625" customWidth="1"/>
    <col min="19" max="19" width="8.83203125" customWidth="1"/>
    <col min="21" max="21" width="16.5" bestFit="1" customWidth="1"/>
    <col min="22" max="22" width="9.5" customWidth="1"/>
    <col min="23" max="23" width="18" customWidth="1"/>
    <col min="24" max="24" width="17.33203125" customWidth="1"/>
  </cols>
  <sheetData>
    <row r="1" spans="1:23">
      <c r="A1" t="s">
        <v>221</v>
      </c>
      <c r="B1" t="s">
        <v>225</v>
      </c>
      <c r="E1" s="77" t="s">
        <v>222</v>
      </c>
      <c r="O1" s="78" t="s">
        <v>226</v>
      </c>
      <c r="P1" s="78"/>
    </row>
    <row r="2" spans="1:23">
      <c r="A2" t="s">
        <v>220</v>
      </c>
      <c r="B2" t="s">
        <v>224</v>
      </c>
      <c r="E2" s="77" t="s">
        <v>223</v>
      </c>
      <c r="F2" s="78" t="s">
        <v>227</v>
      </c>
      <c r="M2" s="82" t="s">
        <v>230</v>
      </c>
      <c r="N2" s="82"/>
      <c r="O2" s="83">
        <v>60000</v>
      </c>
      <c r="P2" t="s">
        <v>234</v>
      </c>
      <c r="Q2" s="66">
        <v>35000</v>
      </c>
      <c r="R2" s="66"/>
      <c r="S2" s="66"/>
      <c r="T2" s="75">
        <f>(Q2+H73)/H73</f>
        <v>1.0219457476038378</v>
      </c>
    </row>
    <row r="3" spans="1:23" ht="100">
      <c r="A3" s="4" t="s">
        <v>213</v>
      </c>
      <c r="B3" s="4" t="s">
        <v>62</v>
      </c>
      <c r="C3" s="4" t="s">
        <v>0</v>
      </c>
      <c r="D3" s="4" t="s">
        <v>302</v>
      </c>
      <c r="E3" s="4" t="s">
        <v>301</v>
      </c>
      <c r="F3" s="4" t="s">
        <v>63</v>
      </c>
      <c r="G3" s="4" t="s">
        <v>236</v>
      </c>
      <c r="H3" s="4" t="s">
        <v>156</v>
      </c>
      <c r="I3" s="4" t="s">
        <v>179</v>
      </c>
      <c r="J3" s="4" t="s">
        <v>180</v>
      </c>
      <c r="K3" s="4" t="s">
        <v>215</v>
      </c>
      <c r="L3" s="4" t="s">
        <v>216</v>
      </c>
      <c r="M3" s="4" t="s">
        <v>210</v>
      </c>
      <c r="N3" s="4" t="s">
        <v>231</v>
      </c>
      <c r="O3" s="220" t="s">
        <v>386</v>
      </c>
      <c r="P3" s="220" t="s">
        <v>387</v>
      </c>
      <c r="Q3" s="220" t="s">
        <v>235</v>
      </c>
      <c r="R3" s="220" t="s">
        <v>217</v>
      </c>
      <c r="S3" s="220" t="s">
        <v>300</v>
      </c>
      <c r="T3" s="6" t="s">
        <v>133</v>
      </c>
      <c r="V3" s="70" t="s">
        <v>239</v>
      </c>
    </row>
    <row r="4" spans="1:23">
      <c r="A4" s="134" t="s">
        <v>197</v>
      </c>
      <c r="B4" s="135" t="s">
        <v>6</v>
      </c>
      <c r="C4" s="135" t="s">
        <v>7</v>
      </c>
      <c r="D4" s="135" t="s">
        <v>43</v>
      </c>
      <c r="E4" s="207">
        <v>112243211</v>
      </c>
      <c r="F4" s="222">
        <v>125054799</v>
      </c>
      <c r="G4" s="136">
        <v>1562</v>
      </c>
      <c r="H4" s="173">
        <v>23029</v>
      </c>
      <c r="I4" s="27">
        <f t="shared" ref="I4:I35" si="0">F4/H4</f>
        <v>5430.3182509010376</v>
      </c>
      <c r="J4" s="28">
        <f t="shared" ref="J4:J35" si="1">G4/H4*100</f>
        <v>6.7827521820313512</v>
      </c>
      <c r="K4" s="29">
        <f t="shared" ref="K4:K19" si="2">$I$75*H4-F4</f>
        <v>43117580.945590705</v>
      </c>
      <c r="L4" s="30">
        <f t="shared" ref="L4:L19" si="3">$J$75*H4/100-G4</f>
        <v>624.3786364700386</v>
      </c>
      <c r="M4" s="58">
        <f t="shared" ref="M4:M35" si="4">IF(L4&gt;0,L4*$O$2,0)</f>
        <v>37462718.188202314</v>
      </c>
      <c r="N4" s="58">
        <f>IF(Tableau3[[#This Row],[ECART DE SCSP CORIGÉE PAR LA VARIABLE DÉMOGRAPHIQUE / MOYENNE DE SON TYPE D''UNIVERSITÉ]]-Tableau3[[#This Row],[masse salariale manquante]]&gt;0,Tableau3[[#This Row],[ECART DE SCSP CORIGÉE PAR LA VARIABLE DÉMOGRAPHIQUE / MOYENNE DE SON TYPE D''UNIVERSITÉ]]-Tableau3[[#This Row],[masse salariale manquante]],0)</f>
        <v>5654862.7573883906</v>
      </c>
      <c r="O4" s="71">
        <f>Tableau3[[#This Row],[Subventions pour charges de service public (SCSP) notifiées en CP en 2019 au titre des programmes 150 et 231 (en euros)]]+Tableau3[[#This Row],[masse salariale manquante]]+Tableau3[[#This Row],[masse salariale supplémentaire à la SCSP corrigée par la variable démographique]]</f>
        <v>168172379.9455907</v>
      </c>
      <c r="P4" s="71">
        <f t="shared" ref="P4:P35" si="5">$T$2*O4</f>
        <v>171863048.54981336</v>
      </c>
      <c r="Q4" s="74"/>
      <c r="R4" s="74"/>
      <c r="S4" s="104">
        <f t="shared" ref="S4:S35" si="6">E4/G4</f>
        <v>71858.649807938535</v>
      </c>
      <c r="T4" s="345"/>
      <c r="U4" s="7" t="s">
        <v>118</v>
      </c>
      <c r="V4" s="7" t="s">
        <v>119</v>
      </c>
      <c r="W4" s="345" t="s">
        <v>120</v>
      </c>
    </row>
    <row r="5" spans="1:23">
      <c r="A5" s="31" t="s">
        <v>197</v>
      </c>
      <c r="B5" s="135" t="s">
        <v>4</v>
      </c>
      <c r="C5" s="135" t="s">
        <v>5</v>
      </c>
      <c r="D5" s="135" t="s">
        <v>5</v>
      </c>
      <c r="E5" s="207">
        <v>149197186</v>
      </c>
      <c r="F5" s="222">
        <v>163218798</v>
      </c>
      <c r="G5" s="136">
        <v>2082</v>
      </c>
      <c r="H5" s="173">
        <v>28303</v>
      </c>
      <c r="I5" s="27">
        <f t="shared" si="0"/>
        <v>5766.8373670635619</v>
      </c>
      <c r="J5" s="28">
        <f t="shared" si="1"/>
        <v>7.3561106596473875</v>
      </c>
      <c r="K5" s="29">
        <f t="shared" si="2"/>
        <v>43467678.599073082</v>
      </c>
      <c r="L5" s="30">
        <f t="shared" si="3"/>
        <v>605.09342776549147</v>
      </c>
      <c r="M5" s="58">
        <f t="shared" si="4"/>
        <v>36305605.665929489</v>
      </c>
      <c r="N5" s="58">
        <f>IF(Tableau3[[#This Row],[ECART DE SCSP CORIGÉE PAR LA VARIABLE DÉMOGRAPHIQUE / MOYENNE DE SON TYPE D''UNIVERSITÉ]]-Tableau3[[#This Row],[masse salariale manquante]]&gt;0,Tableau3[[#This Row],[ECART DE SCSP CORIGÉE PAR LA VARIABLE DÉMOGRAPHIQUE / MOYENNE DE SON TYPE D''UNIVERSITÉ]]-Tableau3[[#This Row],[masse salariale manquante]],0)</f>
        <v>7162072.9331435934</v>
      </c>
      <c r="O5" s="71">
        <f>Tableau3[[#This Row],[Subventions pour charges de service public (SCSP) notifiées en CP en 2019 au titre des programmes 150 et 231 (en euros)]]+Tableau3[[#This Row],[masse salariale manquante]]+Tableau3[[#This Row],[masse salariale supplémentaire à la SCSP corrigée par la variable démographique]]</f>
        <v>206686476.59907308</v>
      </c>
      <c r="P5" s="71">
        <f t="shared" si="5"/>
        <v>211222365.84764287</v>
      </c>
      <c r="Q5" s="74"/>
      <c r="R5" s="74"/>
      <c r="S5" s="104">
        <f t="shared" si="6"/>
        <v>71660.512007684913</v>
      </c>
      <c r="T5" s="345"/>
      <c r="U5" s="7"/>
      <c r="V5" s="7"/>
      <c r="W5" s="345"/>
    </row>
    <row r="6" spans="1:23">
      <c r="A6" s="31" t="s">
        <v>197</v>
      </c>
      <c r="B6" s="135" t="s">
        <v>18</v>
      </c>
      <c r="C6" s="135" t="s">
        <v>55</v>
      </c>
      <c r="D6" s="135" t="s">
        <v>243</v>
      </c>
      <c r="E6" s="207">
        <v>99381525</v>
      </c>
      <c r="F6" s="222">
        <v>107547110</v>
      </c>
      <c r="G6" s="136">
        <v>1376</v>
      </c>
      <c r="H6" s="173">
        <v>18594</v>
      </c>
      <c r="I6" s="27">
        <f t="shared" si="0"/>
        <v>5783.9684844573521</v>
      </c>
      <c r="J6" s="28">
        <f t="shared" si="1"/>
        <v>7.4002366354738083</v>
      </c>
      <c r="K6" s="29">
        <f t="shared" si="2"/>
        <v>28238084.003574342</v>
      </c>
      <c r="L6" s="30">
        <f t="shared" si="3"/>
        <v>389.31870105188659</v>
      </c>
      <c r="M6" s="58">
        <f t="shared" si="4"/>
        <v>23359122.063113194</v>
      </c>
      <c r="N6" s="58">
        <f>IF(Tableau3[[#This Row],[ECART DE SCSP CORIGÉE PAR LA VARIABLE DÉMOGRAPHIQUE / MOYENNE DE SON TYPE D''UNIVERSITÉ]]-Tableau3[[#This Row],[masse salariale manquante]]&gt;0,Tableau3[[#This Row],[ECART DE SCSP CORIGÉE PAR LA VARIABLE DÉMOGRAPHIQUE / MOYENNE DE SON TYPE D''UNIVERSITÉ]]-Tableau3[[#This Row],[masse salariale manquante]],0)</f>
        <v>4878961.9404611476</v>
      </c>
      <c r="O6" s="71">
        <f>Tableau3[[#This Row],[Subventions pour charges de service public (SCSP) notifiées en CP en 2019 au titre des programmes 150 et 231 (en euros)]]+Tableau3[[#This Row],[masse salariale manquante]]+Tableau3[[#This Row],[masse salariale supplémentaire à la SCSP corrigée par la variable démographique]]</f>
        <v>135785194.00357434</v>
      </c>
      <c r="P6" s="71">
        <f t="shared" si="5"/>
        <v>138765101.59951493</v>
      </c>
      <c r="Q6" s="72"/>
      <c r="R6" s="72"/>
      <c r="S6" s="104">
        <f t="shared" si="6"/>
        <v>72224.945494186046</v>
      </c>
      <c r="T6" s="8" t="s">
        <v>98</v>
      </c>
      <c r="U6" s="8" t="s">
        <v>134</v>
      </c>
      <c r="V6" s="8" t="s">
        <v>135</v>
      </c>
      <c r="W6" s="8" t="s">
        <v>136</v>
      </c>
    </row>
    <row r="7" spans="1:23">
      <c r="A7" s="134" t="s">
        <v>197</v>
      </c>
      <c r="B7" s="135" t="s">
        <v>27</v>
      </c>
      <c r="C7" s="135" t="s">
        <v>28</v>
      </c>
      <c r="D7" s="135" t="s">
        <v>28</v>
      </c>
      <c r="E7" s="207">
        <v>19881724</v>
      </c>
      <c r="F7" s="222">
        <v>21533998</v>
      </c>
      <c r="G7" s="135">
        <v>245</v>
      </c>
      <c r="H7" s="173">
        <v>3601</v>
      </c>
      <c r="I7" s="27">
        <f t="shared" si="0"/>
        <v>5980.0049986114964</v>
      </c>
      <c r="J7" s="28">
        <f t="shared" si="1"/>
        <v>6.8036656484309912</v>
      </c>
      <c r="K7" s="29">
        <f t="shared" si="2"/>
        <v>4762790.4052313231</v>
      </c>
      <c r="L7" s="30">
        <f t="shared" si="3"/>
        <v>96.879780708177066</v>
      </c>
      <c r="M7" s="58">
        <f t="shared" si="4"/>
        <v>5812786.8424906237</v>
      </c>
      <c r="N7" s="58">
        <f>IF(Tableau3[[#This Row],[ECART DE SCSP CORIGÉE PAR LA VARIABLE DÉMOGRAPHIQUE / MOYENNE DE SON TYPE D''UNIVERSITÉ]]-Tableau3[[#This Row],[masse salariale manquante]]&gt;0,Tableau3[[#This Row],[ECART DE SCSP CORIGÉE PAR LA VARIABLE DÉMOGRAPHIQUE / MOYENNE DE SON TYPE D''UNIVERSITÉ]]-Tableau3[[#This Row],[masse salariale manquante]],0)</f>
        <v>0</v>
      </c>
      <c r="O7" s="71">
        <f>Tableau3[[#This Row],[Subventions pour charges de service public (SCSP) notifiées en CP en 2019 au titre des programmes 150 et 231 (en euros)]]+Tableau3[[#This Row],[masse salariale manquante]]+Tableau3[[#This Row],[masse salariale supplémentaire à la SCSP corrigée par la variable démographique]]</f>
        <v>27346784.842490625</v>
      </c>
      <c r="P7" s="71">
        <f t="shared" si="5"/>
        <v>27946930.480420381</v>
      </c>
      <c r="Q7" s="73"/>
      <c r="R7" s="73"/>
      <c r="S7" s="104">
        <f t="shared" si="6"/>
        <v>81149.893877551018</v>
      </c>
      <c r="T7" s="7" t="s">
        <v>102</v>
      </c>
      <c r="U7" s="7" t="s">
        <v>137</v>
      </c>
      <c r="V7" s="7" t="s">
        <v>138</v>
      </c>
      <c r="W7" s="7" t="s">
        <v>139</v>
      </c>
    </row>
    <row r="8" spans="1:23">
      <c r="A8" s="134" t="s">
        <v>197</v>
      </c>
      <c r="B8" s="135" t="s">
        <v>6</v>
      </c>
      <c r="C8" s="135" t="s">
        <v>169</v>
      </c>
      <c r="D8" s="135" t="s">
        <v>252</v>
      </c>
      <c r="E8" s="207">
        <v>177798404</v>
      </c>
      <c r="F8" s="222">
        <v>198410648</v>
      </c>
      <c r="G8" s="136">
        <v>2529</v>
      </c>
      <c r="H8" s="173">
        <v>33061</v>
      </c>
      <c r="I8" s="27">
        <f t="shared" si="0"/>
        <v>6001.3504733674117</v>
      </c>
      <c r="J8" s="28">
        <f t="shared" si="1"/>
        <v>7.6494963854692841</v>
      </c>
      <c r="K8" s="29">
        <f t="shared" si="2"/>
        <v>43021765.625479788</v>
      </c>
      <c r="L8" s="30">
        <f t="shared" si="3"/>
        <v>609.81905859290237</v>
      </c>
      <c r="M8" s="58">
        <f t="shared" si="4"/>
        <v>36589143.515574142</v>
      </c>
      <c r="N8" s="58">
        <f>IF(Tableau3[[#This Row],[ECART DE SCSP CORIGÉE PAR LA VARIABLE DÉMOGRAPHIQUE / MOYENNE DE SON TYPE D''UNIVERSITÉ]]-Tableau3[[#This Row],[masse salariale manquante]]&gt;0,Tableau3[[#This Row],[ECART DE SCSP CORIGÉE PAR LA VARIABLE DÉMOGRAPHIQUE / MOYENNE DE SON TYPE D''UNIVERSITÉ]]-Tableau3[[#This Row],[masse salariale manquante]],0)</f>
        <v>6432622.1099056453</v>
      </c>
      <c r="O8" s="71">
        <f>Tableau3[[#This Row],[Subventions pour charges de service public (SCSP) notifiées en CP en 2019 au titre des programmes 150 et 231 (en euros)]]+Tableau3[[#This Row],[masse salariale manquante]]+Tableau3[[#This Row],[masse salariale supplémentaire à la SCSP corrigée par la variable démographique]]</f>
        <v>241432413.62547982</v>
      </c>
      <c r="P8" s="71">
        <f t="shared" si="5"/>
        <v>246730828.43828997</v>
      </c>
      <c r="Q8" s="74"/>
      <c r="R8" s="74"/>
      <c r="S8" s="104">
        <f t="shared" si="6"/>
        <v>70303.837089758803</v>
      </c>
      <c r="T8" s="7" t="s">
        <v>106</v>
      </c>
      <c r="U8" s="7" t="s">
        <v>140</v>
      </c>
      <c r="V8" s="7" t="s">
        <v>141</v>
      </c>
      <c r="W8" s="7" t="s">
        <v>142</v>
      </c>
    </row>
    <row r="9" spans="1:23">
      <c r="A9" s="31" t="s">
        <v>197</v>
      </c>
      <c r="B9" s="135" t="s">
        <v>4</v>
      </c>
      <c r="C9" s="135" t="s">
        <v>54</v>
      </c>
      <c r="D9" s="135" t="s">
        <v>54</v>
      </c>
      <c r="E9" s="207">
        <v>164213241</v>
      </c>
      <c r="F9" s="222">
        <v>181609689</v>
      </c>
      <c r="G9" s="136">
        <v>2356</v>
      </c>
      <c r="H9" s="173">
        <v>29811</v>
      </c>
      <c r="I9" s="27">
        <f t="shared" si="0"/>
        <v>6092.0361276039048</v>
      </c>
      <c r="J9" s="28">
        <f t="shared" si="1"/>
        <v>7.903123008285533</v>
      </c>
      <c r="K9" s="29">
        <f t="shared" si="2"/>
        <v>36089161.082852244</v>
      </c>
      <c r="L9" s="30">
        <f t="shared" si="3"/>
        <v>474.26329983100914</v>
      </c>
      <c r="M9" s="58">
        <f t="shared" si="4"/>
        <v>28455797.98986055</v>
      </c>
      <c r="N9" s="58">
        <f>IF(Tableau3[[#This Row],[ECART DE SCSP CORIGÉE PAR LA VARIABLE DÉMOGRAPHIQUE / MOYENNE DE SON TYPE D''UNIVERSITÉ]]-Tableau3[[#This Row],[masse salariale manquante]]&gt;0,Tableau3[[#This Row],[ECART DE SCSP CORIGÉE PAR LA VARIABLE DÉMOGRAPHIQUE / MOYENNE DE SON TYPE D''UNIVERSITÉ]]-Tableau3[[#This Row],[masse salariale manquante]],0)</f>
        <v>7633363.0929916948</v>
      </c>
      <c r="O9" s="71">
        <f>Tableau3[[#This Row],[Subventions pour charges de service public (SCSP) notifiées en CP en 2019 au titre des programmes 150 et 231 (en euros)]]+Tableau3[[#This Row],[masse salariale manquante]]+Tableau3[[#This Row],[masse salariale supplémentaire à la SCSP corrigée par la variable démographique]]</f>
        <v>217698850.08285224</v>
      </c>
      <c r="P9" s="71">
        <f t="shared" si="5"/>
        <v>222476414.10041624</v>
      </c>
      <c r="Q9" s="72"/>
      <c r="R9" s="72"/>
      <c r="S9" s="104">
        <f t="shared" si="6"/>
        <v>69700.017402376907</v>
      </c>
      <c r="T9" s="9" t="s">
        <v>110</v>
      </c>
      <c r="U9" s="9">
        <v>147</v>
      </c>
      <c r="V9" s="9">
        <v>185</v>
      </c>
      <c r="W9" s="9">
        <v>100</v>
      </c>
    </row>
    <row r="10" spans="1:23">
      <c r="A10" s="134" t="s">
        <v>197</v>
      </c>
      <c r="B10" s="135" t="s">
        <v>6</v>
      </c>
      <c r="C10" s="135" t="s">
        <v>43</v>
      </c>
      <c r="D10" s="135" t="s">
        <v>43</v>
      </c>
      <c r="E10" s="207">
        <v>225680958</v>
      </c>
      <c r="F10" s="222">
        <v>249402942</v>
      </c>
      <c r="G10" s="136">
        <v>3320</v>
      </c>
      <c r="H10" s="173">
        <v>39203</v>
      </c>
      <c r="I10" s="27">
        <f t="shared" si="0"/>
        <v>6361.833073999439</v>
      </c>
      <c r="J10" s="28">
        <f t="shared" si="1"/>
        <v>8.4687396372726589</v>
      </c>
      <c r="K10" s="29">
        <f t="shared" si="2"/>
        <v>36882255.403577745</v>
      </c>
      <c r="L10" s="30">
        <f t="shared" si="3"/>
        <v>401.94197253614675</v>
      </c>
      <c r="M10" s="58">
        <f t="shared" si="4"/>
        <v>24116518.352168806</v>
      </c>
      <c r="N10" s="58">
        <f>IF(Tableau3[[#This Row],[ECART DE SCSP CORIGÉE PAR LA VARIABLE DÉMOGRAPHIQUE / MOYENNE DE SON TYPE D''UNIVERSITÉ]]-Tableau3[[#This Row],[masse salariale manquante]]&gt;0,Tableau3[[#This Row],[ECART DE SCSP CORIGÉE PAR LA VARIABLE DÉMOGRAPHIQUE / MOYENNE DE SON TYPE D''UNIVERSITÉ]]-Tableau3[[#This Row],[masse salariale manquante]],0)</f>
        <v>12765737.051408939</v>
      </c>
      <c r="O10" s="71">
        <f>Tableau3[[#This Row],[Subventions pour charges de service public (SCSP) notifiées en CP en 2019 au titre des programmes 150 et 231 (en euros)]]+Tableau3[[#This Row],[masse salariale manquante]]+Tableau3[[#This Row],[masse salariale supplémentaire à la SCSP corrigée par la variable démographique]]</f>
        <v>286285197.40357774</v>
      </c>
      <c r="P10" s="71">
        <f t="shared" si="5"/>
        <v>292567940.08851153</v>
      </c>
      <c r="Q10" s="72"/>
      <c r="R10" s="72"/>
      <c r="S10" s="104">
        <f t="shared" si="6"/>
        <v>67976.192168674694</v>
      </c>
      <c r="T10" s="9" t="s">
        <v>111</v>
      </c>
      <c r="U10" s="9">
        <v>250</v>
      </c>
      <c r="V10" s="9"/>
      <c r="W10" s="9">
        <v>292</v>
      </c>
    </row>
    <row r="11" spans="1:23">
      <c r="A11" s="134" t="s">
        <v>197</v>
      </c>
      <c r="B11" s="135" t="s">
        <v>6</v>
      </c>
      <c r="C11" s="135" t="s">
        <v>59</v>
      </c>
      <c r="D11" s="135" t="s">
        <v>254</v>
      </c>
      <c r="E11" s="207">
        <v>148248364</v>
      </c>
      <c r="F11" s="222">
        <v>164001236</v>
      </c>
      <c r="G11" s="136">
        <v>2110</v>
      </c>
      <c r="H11" s="173">
        <v>25172</v>
      </c>
      <c r="I11" s="27">
        <f t="shared" si="0"/>
        <v>6515.2246941045605</v>
      </c>
      <c r="J11" s="28">
        <f t="shared" si="1"/>
        <v>8.3823295725409182</v>
      </c>
      <c r="K11" s="29">
        <f t="shared" si="2"/>
        <v>19820690.613852501</v>
      </c>
      <c r="L11" s="30">
        <f t="shared" si="3"/>
        <v>279.83555678595712</v>
      </c>
      <c r="M11" s="58">
        <f t="shared" si="4"/>
        <v>16790133.407157429</v>
      </c>
      <c r="N11" s="58">
        <f>IF(Tableau3[[#This Row],[ECART DE SCSP CORIGÉE PAR LA VARIABLE DÉMOGRAPHIQUE / MOYENNE DE SON TYPE D''UNIVERSITÉ]]-Tableau3[[#This Row],[masse salariale manquante]]&gt;0,Tableau3[[#This Row],[ECART DE SCSP CORIGÉE PAR LA VARIABLE DÉMOGRAPHIQUE / MOYENNE DE SON TYPE D''UNIVERSITÉ]]-Tableau3[[#This Row],[masse salariale manquante]],0)</f>
        <v>3030557.2066950724</v>
      </c>
      <c r="O11" s="71">
        <f>Tableau3[[#This Row],[Subventions pour charges de service public (SCSP) notifiées en CP en 2019 au titre des programmes 150 et 231 (en euros)]]+Tableau3[[#This Row],[masse salariale manquante]]+Tableau3[[#This Row],[masse salariale supplémentaire à la SCSP corrigée par la variable démographique]]</f>
        <v>183821926.6138525</v>
      </c>
      <c r="P11" s="71">
        <f t="shared" si="5"/>
        <v>187856036.21937132</v>
      </c>
      <c r="Q11" s="74"/>
      <c r="R11" s="74"/>
      <c r="S11" s="104">
        <f t="shared" si="6"/>
        <v>70259.888151658772</v>
      </c>
      <c r="T11" s="8" t="s">
        <v>112</v>
      </c>
      <c r="U11" s="7"/>
      <c r="V11" s="8">
        <v>225</v>
      </c>
      <c r="W11" s="8">
        <v>258</v>
      </c>
    </row>
    <row r="12" spans="1:23">
      <c r="A12" s="134" t="s">
        <v>197</v>
      </c>
      <c r="B12" s="135" t="s">
        <v>6</v>
      </c>
      <c r="C12" s="135" t="s">
        <v>15</v>
      </c>
      <c r="D12" s="135" t="s">
        <v>246</v>
      </c>
      <c r="E12" s="207">
        <v>135239275</v>
      </c>
      <c r="F12" s="222">
        <v>150100216</v>
      </c>
      <c r="G12" s="136">
        <v>1925</v>
      </c>
      <c r="H12" s="173">
        <v>22806</v>
      </c>
      <c r="I12" s="27">
        <f t="shared" si="0"/>
        <v>6581.61080417434</v>
      </c>
      <c r="J12" s="28">
        <f t="shared" si="1"/>
        <v>8.4407612031921424</v>
      </c>
      <c r="K12" s="33">
        <f t="shared" si="2"/>
        <v>16443676.354819655</v>
      </c>
      <c r="L12" s="30">
        <f t="shared" si="3"/>
        <v>240.20696440729944</v>
      </c>
      <c r="M12" s="58">
        <f t="shared" si="4"/>
        <v>14412417.864437966</v>
      </c>
      <c r="N12" s="58">
        <f>IF(Tableau3[[#This Row],[ECART DE SCSP CORIGÉE PAR LA VARIABLE DÉMOGRAPHIQUE / MOYENNE DE SON TYPE D''UNIVERSITÉ]]-Tableau3[[#This Row],[masse salariale manquante]]&gt;0,Tableau3[[#This Row],[ECART DE SCSP CORIGÉE PAR LA VARIABLE DÉMOGRAPHIQUE / MOYENNE DE SON TYPE D''UNIVERSITÉ]]-Tableau3[[#This Row],[masse salariale manquante]],0)</f>
        <v>2031258.4903816897</v>
      </c>
      <c r="O12" s="71">
        <f>Tableau3[[#This Row],[Subventions pour charges de service public (SCSP) notifiées en CP en 2019 au titre des programmes 150 et 231 (en euros)]]+Tableau3[[#This Row],[masse salariale manquante]]+Tableau3[[#This Row],[masse salariale supplémentaire à la SCSP corrigée par la variable démographique]]</f>
        <v>166543892.35481966</v>
      </c>
      <c r="P12" s="71">
        <f t="shared" si="5"/>
        <v>170198822.58139926</v>
      </c>
      <c r="Q12" s="72"/>
      <c r="R12" s="72"/>
      <c r="S12" s="104">
        <f t="shared" si="6"/>
        <v>70254.168831168834</v>
      </c>
      <c r="T12" s="7" t="s">
        <v>115</v>
      </c>
      <c r="U12" s="7"/>
      <c r="V12" s="7">
        <v>225</v>
      </c>
      <c r="W12" s="7">
        <v>258</v>
      </c>
    </row>
    <row r="13" spans="1:23">
      <c r="A13" s="134" t="s">
        <v>197</v>
      </c>
      <c r="B13" s="135" t="s">
        <v>8</v>
      </c>
      <c r="C13" s="135" t="s">
        <v>29</v>
      </c>
      <c r="D13" s="135" t="s">
        <v>29</v>
      </c>
      <c r="E13" s="207">
        <v>91028597</v>
      </c>
      <c r="F13" s="222">
        <v>100733259</v>
      </c>
      <c r="G13" s="136">
        <v>1011</v>
      </c>
      <c r="H13" s="173">
        <v>15153</v>
      </c>
      <c r="I13" s="27">
        <f t="shared" si="0"/>
        <v>6647.743615125718</v>
      </c>
      <c r="J13" s="28">
        <f t="shared" si="1"/>
        <v>6.6719461492773702</v>
      </c>
      <c r="K13" s="29">
        <f t="shared" si="2"/>
        <v>9923568.1881339103</v>
      </c>
      <c r="L13" s="30">
        <f t="shared" si="3"/>
        <v>427.62935769814135</v>
      </c>
      <c r="M13" s="58">
        <f t="shared" si="4"/>
        <v>25657761.461888481</v>
      </c>
      <c r="N13" s="58">
        <f>IF(Tableau3[[#This Row],[ECART DE SCSP CORIGÉE PAR LA VARIABLE DÉMOGRAPHIQUE / MOYENNE DE SON TYPE D''UNIVERSITÉ]]-Tableau3[[#This Row],[masse salariale manquante]]&gt;0,Tableau3[[#This Row],[ECART DE SCSP CORIGÉE PAR LA VARIABLE DÉMOGRAPHIQUE / MOYENNE DE SON TYPE D''UNIVERSITÉ]]-Tableau3[[#This Row],[masse salariale manquante]],0)</f>
        <v>0</v>
      </c>
      <c r="O13" s="71">
        <f>Tableau3[[#This Row],[Subventions pour charges de service public (SCSP) notifiées en CP en 2019 au titre des programmes 150 et 231 (en euros)]]+Tableau3[[#This Row],[masse salariale manquante]]+Tableau3[[#This Row],[masse salariale supplémentaire à la SCSP corrigée par la variable démographique]]</f>
        <v>126391020.46188848</v>
      </c>
      <c r="P13" s="71">
        <f t="shared" si="5"/>
        <v>129164765.89633659</v>
      </c>
      <c r="Q13" s="72"/>
      <c r="R13" s="72"/>
      <c r="S13" s="104">
        <f t="shared" si="6"/>
        <v>90038.177052423343</v>
      </c>
      <c r="T13" s="10"/>
      <c r="U13" s="10"/>
      <c r="V13" s="10"/>
      <c r="W13" s="10"/>
    </row>
    <row r="14" spans="1:23">
      <c r="A14" s="134" t="s">
        <v>197</v>
      </c>
      <c r="B14" s="135" t="s">
        <v>18</v>
      </c>
      <c r="C14" s="135" t="s">
        <v>57</v>
      </c>
      <c r="D14" s="135" t="s">
        <v>57</v>
      </c>
      <c r="E14" s="207">
        <v>308357343</v>
      </c>
      <c r="F14" s="222">
        <v>340761797</v>
      </c>
      <c r="G14" s="136">
        <v>4609</v>
      </c>
      <c r="H14" s="173">
        <v>50449</v>
      </c>
      <c r="I14" s="27">
        <f t="shared" si="0"/>
        <v>6754.579813276775</v>
      </c>
      <c r="J14" s="28">
        <f t="shared" si="1"/>
        <v>9.1359590873951912</v>
      </c>
      <c r="K14" s="29">
        <f t="shared" si="2"/>
        <v>27648832.896005273</v>
      </c>
      <c r="L14" s="30">
        <f t="shared" si="3"/>
        <v>180.63983808575995</v>
      </c>
      <c r="M14" s="58">
        <f t="shared" si="4"/>
        <v>10838390.285145598</v>
      </c>
      <c r="N14" s="58">
        <f>IF(Tableau3[[#This Row],[ECART DE SCSP CORIGÉE PAR LA VARIABLE DÉMOGRAPHIQUE / MOYENNE DE SON TYPE D''UNIVERSITÉ]]-Tableau3[[#This Row],[masse salariale manquante]]&gt;0,Tableau3[[#This Row],[ECART DE SCSP CORIGÉE PAR LA VARIABLE DÉMOGRAPHIQUE / MOYENNE DE SON TYPE D''UNIVERSITÉ]]-Tableau3[[#This Row],[masse salariale manquante]],0)</f>
        <v>16810442.610859677</v>
      </c>
      <c r="O14" s="71">
        <f>Tableau3[[#This Row],[Subventions pour charges de service public (SCSP) notifiées en CP en 2019 au titre des programmes 150 et 231 (en euros)]]+Tableau3[[#This Row],[masse salariale manquante]]+Tableau3[[#This Row],[masse salariale supplémentaire à la SCSP corrigée par la variable démographique]]</f>
        <v>368410629.89600527</v>
      </c>
      <c r="P14" s="71">
        <f t="shared" si="5"/>
        <v>376495676.59427392</v>
      </c>
      <c r="Q14" s="74"/>
      <c r="R14" s="74"/>
      <c r="S14" s="104">
        <f t="shared" si="6"/>
        <v>66903.307224994569</v>
      </c>
      <c r="T14" s="7" t="s">
        <v>116</v>
      </c>
      <c r="U14" s="7"/>
      <c r="V14" s="7"/>
      <c r="W14" s="7"/>
    </row>
    <row r="15" spans="1:23">
      <c r="A15" s="134" t="s">
        <v>197</v>
      </c>
      <c r="B15" s="135" t="s">
        <v>4</v>
      </c>
      <c r="C15" s="135" t="s">
        <v>17</v>
      </c>
      <c r="D15" s="135" t="s">
        <v>17</v>
      </c>
      <c r="E15" s="207">
        <v>174039170</v>
      </c>
      <c r="F15" s="222">
        <v>191270219</v>
      </c>
      <c r="G15" s="136">
        <v>2488</v>
      </c>
      <c r="H15" s="173">
        <v>28139</v>
      </c>
      <c r="I15" s="27">
        <f t="shared" si="0"/>
        <v>6797.3353352997619</v>
      </c>
      <c r="J15" s="28">
        <f t="shared" si="1"/>
        <v>8.8418209602331288</v>
      </c>
      <c r="K15" s="29">
        <f t="shared" si="2"/>
        <v>14218625.469537407</v>
      </c>
      <c r="L15" s="30">
        <f t="shared" si="3"/>
        <v>183.52322947719904</v>
      </c>
      <c r="M15" s="58">
        <f t="shared" si="4"/>
        <v>11011393.768631943</v>
      </c>
      <c r="N15" s="58">
        <f>IF(Tableau3[[#This Row],[ECART DE SCSP CORIGÉE PAR LA VARIABLE DÉMOGRAPHIQUE / MOYENNE DE SON TYPE D''UNIVERSITÉ]]-Tableau3[[#This Row],[masse salariale manquante]]&gt;0,Tableau3[[#This Row],[ECART DE SCSP CORIGÉE PAR LA VARIABLE DÉMOGRAPHIQUE / MOYENNE DE SON TYPE D''UNIVERSITÉ]]-Tableau3[[#This Row],[masse salariale manquante]],0)</f>
        <v>3207231.7009054646</v>
      </c>
      <c r="O15" s="71">
        <f>Tableau3[[#This Row],[Subventions pour charges de service public (SCSP) notifiées en CP en 2019 au titre des programmes 150 et 231 (en euros)]]+Tableau3[[#This Row],[masse salariale manquante]]+Tableau3[[#This Row],[masse salariale supplémentaire à la SCSP corrigée par la variable démographique]]</f>
        <v>205488844.46953741</v>
      </c>
      <c r="P15" s="71">
        <f t="shared" si="5"/>
        <v>209998450.78567016</v>
      </c>
      <c r="Q15" s="72"/>
      <c r="R15" s="72"/>
      <c r="S15" s="104">
        <f t="shared" si="6"/>
        <v>69951.434887459807</v>
      </c>
      <c r="T15" s="55"/>
      <c r="U15" s="55"/>
      <c r="V15" s="55"/>
      <c r="W15" s="55"/>
    </row>
    <row r="16" spans="1:23">
      <c r="A16" s="134" t="s">
        <v>197</v>
      </c>
      <c r="B16" s="135" t="s">
        <v>33</v>
      </c>
      <c r="C16" s="135" t="s">
        <v>34</v>
      </c>
      <c r="D16" s="135" t="s">
        <v>34</v>
      </c>
      <c r="E16" s="207">
        <v>410530759</v>
      </c>
      <c r="F16" s="222">
        <v>448769020</v>
      </c>
      <c r="G16" s="136">
        <v>5843</v>
      </c>
      <c r="H16" s="173">
        <v>65726</v>
      </c>
      <c r="I16" s="27">
        <f t="shared" si="0"/>
        <v>6827.8766393816759</v>
      </c>
      <c r="J16" s="28">
        <f t="shared" si="1"/>
        <v>8.8899370112284331</v>
      </c>
      <c r="K16" s="29">
        <f t="shared" si="2"/>
        <v>31203963.816227138</v>
      </c>
      <c r="L16" s="30">
        <f t="shared" si="3"/>
        <v>397.04178473358661</v>
      </c>
      <c r="M16" s="58">
        <f t="shared" si="4"/>
        <v>23822507.084015198</v>
      </c>
      <c r="N16" s="58">
        <f>IF(Tableau3[[#This Row],[ECART DE SCSP CORIGÉE PAR LA VARIABLE DÉMOGRAPHIQUE / MOYENNE DE SON TYPE D''UNIVERSITÉ]]-Tableau3[[#This Row],[masse salariale manquante]]&gt;0,Tableau3[[#This Row],[ECART DE SCSP CORIGÉE PAR LA VARIABLE DÉMOGRAPHIQUE / MOYENNE DE SON TYPE D''UNIVERSITÉ]]-Tableau3[[#This Row],[masse salariale manquante]],0)</f>
        <v>7381456.73221194</v>
      </c>
      <c r="O16" s="71">
        <f>Tableau3[[#This Row],[Subventions pour charges de service public (SCSP) notifiées en CP en 2019 au titre des programmes 150 et 231 (en euros)]]+Tableau3[[#This Row],[masse salariale manquante]]+Tableau3[[#This Row],[masse salariale supplémentaire à la SCSP corrigée par la variable démographique]]</f>
        <v>479972983.81622714</v>
      </c>
      <c r="P16" s="71">
        <f t="shared" si="5"/>
        <v>490506349.77571899</v>
      </c>
      <c r="Q16" s="72"/>
      <c r="R16" s="72"/>
      <c r="S16" s="104">
        <f t="shared" si="6"/>
        <v>70260.270237891498</v>
      </c>
      <c r="T16" s="55"/>
      <c r="U16" s="55"/>
      <c r="V16" s="55"/>
      <c r="W16" s="55"/>
    </row>
    <row r="17" spans="1:23">
      <c r="A17" s="134" t="s">
        <v>197</v>
      </c>
      <c r="B17" s="135" t="s">
        <v>13</v>
      </c>
      <c r="C17" s="135" t="s">
        <v>14</v>
      </c>
      <c r="D17" s="135" t="s">
        <v>14</v>
      </c>
      <c r="E17" s="207">
        <v>303457020</v>
      </c>
      <c r="F17" s="222">
        <v>336931548</v>
      </c>
      <c r="G17" s="136">
        <v>4468</v>
      </c>
      <c r="H17" s="173">
        <v>49286</v>
      </c>
      <c r="I17" s="27">
        <f t="shared" si="0"/>
        <v>6836.2526478107375</v>
      </c>
      <c r="J17" s="28">
        <f t="shared" si="1"/>
        <v>9.0654546930162727</v>
      </c>
      <c r="K17" s="29">
        <f t="shared" si="2"/>
        <v>22986117.465212703</v>
      </c>
      <c r="L17" s="30">
        <f t="shared" si="3"/>
        <v>211.22434656573478</v>
      </c>
      <c r="M17" s="58">
        <f t="shared" si="4"/>
        <v>12673460.793944087</v>
      </c>
      <c r="N17" s="58">
        <f>IF(Tableau3[[#This Row],[ECART DE SCSP CORIGÉE PAR LA VARIABLE DÉMOGRAPHIQUE / MOYENNE DE SON TYPE D''UNIVERSITÉ]]-Tableau3[[#This Row],[masse salariale manquante]]&gt;0,Tableau3[[#This Row],[ECART DE SCSP CORIGÉE PAR LA VARIABLE DÉMOGRAPHIQUE / MOYENNE DE SON TYPE D''UNIVERSITÉ]]-Tableau3[[#This Row],[masse salariale manquante]],0)</f>
        <v>10312656.671268616</v>
      </c>
      <c r="O17" s="71">
        <f>Tableau3[[#This Row],[Subventions pour charges de service public (SCSP) notifiées en CP en 2019 au titre des programmes 150 et 231 (en euros)]]+Tableau3[[#This Row],[masse salariale manquante]]+Tableau3[[#This Row],[masse salariale supplémentaire à la SCSP corrigée par la variable démographique]]</f>
        <v>359917665.4652127</v>
      </c>
      <c r="P17" s="71">
        <f t="shared" si="5"/>
        <v>367816327.70967478</v>
      </c>
      <c r="Q17" s="74"/>
      <c r="R17" s="74"/>
      <c r="S17" s="104">
        <f t="shared" si="6"/>
        <v>67917.864816472691</v>
      </c>
      <c r="T17" s="7" t="s">
        <v>117</v>
      </c>
      <c r="U17" s="7"/>
      <c r="V17" s="7"/>
      <c r="W17" s="7"/>
    </row>
    <row r="18" spans="1:23">
      <c r="A18" s="134" t="s">
        <v>197</v>
      </c>
      <c r="B18" s="135" t="s">
        <v>6</v>
      </c>
      <c r="C18" s="135" t="s">
        <v>23</v>
      </c>
      <c r="D18" s="135" t="s">
        <v>23</v>
      </c>
      <c r="E18" s="207">
        <v>176994914</v>
      </c>
      <c r="F18" s="222">
        <v>197192039</v>
      </c>
      <c r="G18" s="136">
        <v>2555</v>
      </c>
      <c r="H18" s="173">
        <v>28511</v>
      </c>
      <c r="I18" s="27">
        <f t="shared" si="0"/>
        <v>6916.349444074217</v>
      </c>
      <c r="J18" s="28">
        <f t="shared" si="1"/>
        <v>8.9614534740977163</v>
      </c>
      <c r="K18" s="29">
        <f t="shared" si="2"/>
        <v>11013385.665801227</v>
      </c>
      <c r="L18" s="30">
        <f t="shared" si="3"/>
        <v>151.84099632625248</v>
      </c>
      <c r="M18" s="58">
        <f t="shared" si="4"/>
        <v>9110459.7795751486</v>
      </c>
      <c r="N18" s="58">
        <f>IF(Tableau3[[#This Row],[ECART DE SCSP CORIGÉE PAR LA VARIABLE DÉMOGRAPHIQUE / MOYENNE DE SON TYPE D''UNIVERSITÉ]]-Tableau3[[#This Row],[masse salariale manquante]]&gt;0,Tableau3[[#This Row],[ECART DE SCSP CORIGÉE PAR LA VARIABLE DÉMOGRAPHIQUE / MOYENNE DE SON TYPE D''UNIVERSITÉ]]-Tableau3[[#This Row],[masse salariale manquante]],0)</f>
        <v>1902925.8862260785</v>
      </c>
      <c r="O18" s="71">
        <f>Tableau3[[#This Row],[Subventions pour charges de service public (SCSP) notifiées en CP en 2019 au titre des programmes 150 et 231 (en euros)]]+Tableau3[[#This Row],[masse salariale manquante]]+Tableau3[[#This Row],[masse salariale supplémentaire à la SCSP corrigée par la variable démographique]]</f>
        <v>208205424.66580123</v>
      </c>
      <c r="P18" s="71">
        <f t="shared" si="5"/>
        <v>212774648.36526677</v>
      </c>
      <c r="Q18" s="72"/>
      <c r="R18" s="72"/>
      <c r="S18" s="104">
        <f t="shared" si="6"/>
        <v>69273.938943248533</v>
      </c>
      <c r="T18" s="10"/>
      <c r="U18" s="10"/>
      <c r="V18" s="10"/>
      <c r="W18" s="10"/>
    </row>
    <row r="19" spans="1:23">
      <c r="A19" s="134" t="s">
        <v>197</v>
      </c>
      <c r="B19" s="135" t="s">
        <v>6</v>
      </c>
      <c r="C19" s="135" t="s">
        <v>174</v>
      </c>
      <c r="D19" s="135" t="s">
        <v>252</v>
      </c>
      <c r="E19" s="207">
        <v>137856881</v>
      </c>
      <c r="F19" s="222">
        <v>150677655</v>
      </c>
      <c r="G19" s="136">
        <v>1985</v>
      </c>
      <c r="H19" s="173">
        <v>21348</v>
      </c>
      <c r="I19" s="27">
        <f t="shared" si="0"/>
        <v>7058.1625913434518</v>
      </c>
      <c r="J19" s="28">
        <f t="shared" si="1"/>
        <v>9.2982949222409594</v>
      </c>
      <c r="K19" s="29">
        <f t="shared" si="2"/>
        <v>5218995.6178501248</v>
      </c>
      <c r="L19" s="30">
        <f t="shared" si="3"/>
        <v>41.784104015041066</v>
      </c>
      <c r="M19" s="58">
        <f t="shared" si="4"/>
        <v>2507046.2409024639</v>
      </c>
      <c r="N19" s="58">
        <f>IF(Tableau3[[#This Row],[ECART DE SCSP CORIGÉE PAR LA VARIABLE DÉMOGRAPHIQUE / MOYENNE DE SON TYPE D''UNIVERSITÉ]]-Tableau3[[#This Row],[masse salariale manquante]]&gt;0,Tableau3[[#This Row],[ECART DE SCSP CORIGÉE PAR LA VARIABLE DÉMOGRAPHIQUE / MOYENNE DE SON TYPE D''UNIVERSITÉ]]-Tableau3[[#This Row],[masse salariale manquante]],0)</f>
        <v>2711949.3769476609</v>
      </c>
      <c r="O19" s="71">
        <f>Tableau3[[#This Row],[Subventions pour charges de service public (SCSP) notifiées en CP en 2019 au titre des programmes 150 et 231 (en euros)]]+Tableau3[[#This Row],[masse salariale manquante]]+Tableau3[[#This Row],[masse salariale supplémentaire à la SCSP corrigée par la variable démographique]]</f>
        <v>155896650.61785012</v>
      </c>
      <c r="P19" s="71">
        <f t="shared" si="5"/>
        <v>159317919.16459316</v>
      </c>
      <c r="Q19" s="74"/>
      <c r="R19" s="74"/>
      <c r="S19" s="104">
        <f t="shared" si="6"/>
        <v>69449.310327455925</v>
      </c>
      <c r="T19" s="10"/>
      <c r="U19" s="10"/>
      <c r="V19" s="10"/>
      <c r="W19" s="10"/>
    </row>
    <row r="20" spans="1:23">
      <c r="A20" s="134" t="s">
        <v>197</v>
      </c>
      <c r="B20" s="135" t="s">
        <v>40</v>
      </c>
      <c r="C20" s="135" t="s">
        <v>41</v>
      </c>
      <c r="D20" s="135" t="s">
        <v>41</v>
      </c>
      <c r="E20" s="207">
        <v>270365903</v>
      </c>
      <c r="F20" s="222">
        <v>297018405</v>
      </c>
      <c r="G20" s="136">
        <v>4022</v>
      </c>
      <c r="H20" s="173">
        <v>41309</v>
      </c>
      <c r="I20" s="27">
        <f t="shared" si="0"/>
        <v>7190.1620712193471</v>
      </c>
      <c r="J20" s="28">
        <f t="shared" si="1"/>
        <v>9.7363770606889535</v>
      </c>
      <c r="K20" s="29">
        <f>$I$77*H20-F20</f>
        <v>42092368.251262903</v>
      </c>
      <c r="L20" s="30">
        <f>$J$77*H20/100-G20</f>
        <v>608.52836829248736</v>
      </c>
      <c r="M20" s="58">
        <f t="shared" si="4"/>
        <v>36511702.097549245</v>
      </c>
      <c r="N20" s="58">
        <f>IF(Tableau3[[#This Row],[ECART DE SCSP CORIGÉE PAR LA VARIABLE DÉMOGRAPHIQUE / MOYENNE DE SON TYPE D''UNIVERSITÉ]]-Tableau3[[#This Row],[masse salariale manquante]]&gt;0,Tableau3[[#This Row],[ECART DE SCSP CORIGÉE PAR LA VARIABLE DÉMOGRAPHIQUE / MOYENNE DE SON TYPE D''UNIVERSITÉ]]-Tableau3[[#This Row],[masse salariale manquante]],0)</f>
        <v>5580666.1537136585</v>
      </c>
      <c r="O20" s="71">
        <f>Tableau3[[#This Row],[Subventions pour charges de service public (SCSP) notifiées en CP en 2019 au titre des programmes 150 et 231 (en euros)]]+Tableau3[[#This Row],[masse salariale manquante]]+Tableau3[[#This Row],[masse salariale supplémentaire à la SCSP corrigée par la variable démographique]]</f>
        <v>339110773.2512629</v>
      </c>
      <c r="P20" s="71">
        <f t="shared" si="5"/>
        <v>346552812.69077742</v>
      </c>
      <c r="Q20" s="72"/>
      <c r="R20" s="72"/>
      <c r="S20" s="104">
        <f t="shared" si="6"/>
        <v>67221.756091496762</v>
      </c>
    </row>
    <row r="21" spans="1:23">
      <c r="A21" s="134" t="s">
        <v>197</v>
      </c>
      <c r="B21" s="135" t="s">
        <v>4</v>
      </c>
      <c r="C21" s="135" t="s">
        <v>51</v>
      </c>
      <c r="D21" s="135" t="s">
        <v>51</v>
      </c>
      <c r="E21" s="207">
        <v>157740459</v>
      </c>
      <c r="F21" s="222">
        <v>171660049</v>
      </c>
      <c r="G21" s="136">
        <v>2261</v>
      </c>
      <c r="H21" s="173">
        <v>23730</v>
      </c>
      <c r="I21" s="27">
        <f t="shared" si="0"/>
        <v>7233.8832279814578</v>
      </c>
      <c r="J21" s="28">
        <f t="shared" si="1"/>
        <v>9.5280235988200594</v>
      </c>
      <c r="K21" s="33">
        <f t="shared" ref="K21:K33" si="7">$I$75*H21-F21</f>
        <v>1631478.0358620584</v>
      </c>
      <c r="L21" s="32">
        <f t="shared" ref="L21:L33" si="8">$J$75*H21/100-G21</f>
        <v>-8.0682598708576734</v>
      </c>
      <c r="M21" s="58">
        <f t="shared" si="4"/>
        <v>0</v>
      </c>
      <c r="N21" s="58">
        <f>IF(Tableau3[[#This Row],[ECART DE SCSP CORIGÉE PAR LA VARIABLE DÉMOGRAPHIQUE / MOYENNE DE SON TYPE D''UNIVERSITÉ]]-Tableau3[[#This Row],[masse salariale manquante]]&gt;0,Tableau3[[#This Row],[ECART DE SCSP CORIGÉE PAR LA VARIABLE DÉMOGRAPHIQUE / MOYENNE DE SON TYPE D''UNIVERSITÉ]]-Tableau3[[#This Row],[masse salariale manquante]],0)</f>
        <v>1631478.0358620584</v>
      </c>
      <c r="O21" s="71">
        <f>Tableau3[[#This Row],[Subventions pour charges de service public (SCSP) notifiées en CP en 2019 au titre des programmes 150 et 231 (en euros)]]+Tableau3[[#This Row],[masse salariale manquante]]+Tableau3[[#This Row],[masse salariale supplémentaire à la SCSP corrigée par la variable démographique]]</f>
        <v>173291527.03586206</v>
      </c>
      <c r="P21" s="71">
        <f t="shared" si="5"/>
        <v>177094539.15007472</v>
      </c>
      <c r="Q21" s="74"/>
      <c r="R21" s="74"/>
      <c r="S21" s="104">
        <f t="shared" si="6"/>
        <v>69765.793454223793</v>
      </c>
    </row>
    <row r="22" spans="1:23">
      <c r="A22" s="134" t="s">
        <v>197</v>
      </c>
      <c r="B22" s="135" t="s">
        <v>20</v>
      </c>
      <c r="C22" s="135" t="s">
        <v>35</v>
      </c>
      <c r="D22" s="135" t="s">
        <v>306</v>
      </c>
      <c r="E22" s="207">
        <v>114094373</v>
      </c>
      <c r="F22" s="222">
        <v>125307558</v>
      </c>
      <c r="G22" s="136">
        <v>1616</v>
      </c>
      <c r="H22" s="173">
        <v>16980</v>
      </c>
      <c r="I22" s="27">
        <f t="shared" si="0"/>
        <v>7379.7148409893989</v>
      </c>
      <c r="J22" s="28">
        <f t="shared" si="1"/>
        <v>9.5170789163722027</v>
      </c>
      <c r="K22" s="33">
        <f t="shared" si="7"/>
        <v>-1308816.7834413052</v>
      </c>
      <c r="L22" s="32">
        <f t="shared" si="8"/>
        <v>-3.9148357609424238</v>
      </c>
      <c r="M22" s="58">
        <f t="shared" si="4"/>
        <v>0</v>
      </c>
      <c r="N22" s="58">
        <f>IF(Tableau3[[#This Row],[ECART DE SCSP CORIGÉE PAR LA VARIABLE DÉMOGRAPHIQUE / MOYENNE DE SON TYPE D''UNIVERSITÉ]]-Tableau3[[#This Row],[masse salariale manquante]]&gt;0,Tableau3[[#This Row],[ECART DE SCSP CORIGÉE PAR LA VARIABLE DÉMOGRAPHIQUE / MOYENNE DE SON TYPE D''UNIVERSITÉ]]-Tableau3[[#This Row],[masse salariale manquante]],0)</f>
        <v>0</v>
      </c>
      <c r="O22" s="71">
        <f>Tableau3[[#This Row],[Subventions pour charges de service public (SCSP) notifiées en CP en 2019 au titre des programmes 150 et 231 (en euros)]]+Tableau3[[#This Row],[masse salariale manquante]]+Tableau3[[#This Row],[masse salariale supplémentaire à la SCSP corrigée par la variable démographique]]</f>
        <v>125307558</v>
      </c>
      <c r="P22" s="71">
        <f t="shared" si="5"/>
        <v>128057526.04072127</v>
      </c>
      <c r="Q22" s="72"/>
      <c r="R22" s="72"/>
      <c r="S22" s="104">
        <f t="shared" si="6"/>
        <v>70602.953589108918</v>
      </c>
    </row>
    <row r="23" spans="1:23">
      <c r="A23" s="134" t="s">
        <v>197</v>
      </c>
      <c r="B23" s="135" t="s">
        <v>20</v>
      </c>
      <c r="C23" s="135" t="s">
        <v>21</v>
      </c>
      <c r="D23" s="135" t="s">
        <v>249</v>
      </c>
      <c r="E23" s="207">
        <v>211683539</v>
      </c>
      <c r="F23" s="222">
        <v>239620370</v>
      </c>
      <c r="G23" s="136">
        <v>3025</v>
      </c>
      <c r="H23" s="173">
        <v>31949</v>
      </c>
      <c r="I23" s="27">
        <f t="shared" si="0"/>
        <v>7500.0898306676263</v>
      </c>
      <c r="J23" s="28">
        <f t="shared" si="1"/>
        <v>9.4682149676046201</v>
      </c>
      <c r="K23" s="33">
        <f t="shared" si="7"/>
        <v>-6308486.4235669076</v>
      </c>
      <c r="L23" s="30">
        <f t="shared" si="8"/>
        <v>8.245518979602366</v>
      </c>
      <c r="M23" s="58">
        <f t="shared" si="4"/>
        <v>494731.13877614198</v>
      </c>
      <c r="N23" s="58">
        <f>IF(Tableau3[[#This Row],[ECART DE SCSP CORIGÉE PAR LA VARIABLE DÉMOGRAPHIQUE / MOYENNE DE SON TYPE D''UNIVERSITÉ]]-Tableau3[[#This Row],[masse salariale manquante]]&gt;0,Tableau3[[#This Row],[ECART DE SCSP CORIGÉE PAR LA VARIABLE DÉMOGRAPHIQUE / MOYENNE DE SON TYPE D''UNIVERSITÉ]]-Tableau3[[#This Row],[masse salariale manquante]],0)</f>
        <v>0</v>
      </c>
      <c r="O23" s="71">
        <f>Tableau3[[#This Row],[Subventions pour charges de service public (SCSP) notifiées en CP en 2019 au titre des programmes 150 et 231 (en euros)]]+Tableau3[[#This Row],[masse salariale manquante]]+Tableau3[[#This Row],[masse salariale supplémentaire à la SCSP corrigée par la variable démographique]]</f>
        <v>240115101.13877615</v>
      </c>
      <c r="P23" s="71">
        <f t="shared" si="5"/>
        <v>245384606.54423773</v>
      </c>
      <c r="Q23" s="72"/>
      <c r="R23" s="72"/>
      <c r="S23" s="104">
        <f t="shared" si="6"/>
        <v>69978.029421487605</v>
      </c>
    </row>
    <row r="24" spans="1:23">
      <c r="A24" s="134" t="s">
        <v>197</v>
      </c>
      <c r="B24" s="135" t="s">
        <v>6</v>
      </c>
      <c r="C24" s="135" t="s">
        <v>60</v>
      </c>
      <c r="D24" s="135" t="s">
        <v>303</v>
      </c>
      <c r="E24" s="207">
        <v>101869281</v>
      </c>
      <c r="F24" s="222">
        <v>113867438</v>
      </c>
      <c r="G24" s="136">
        <v>1413</v>
      </c>
      <c r="H24" s="173">
        <v>15037</v>
      </c>
      <c r="I24" s="27">
        <f t="shared" si="0"/>
        <v>7572.4837401077339</v>
      </c>
      <c r="J24" s="28">
        <f t="shared" si="1"/>
        <v>9.3968211744363899</v>
      </c>
      <c r="K24" s="33">
        <f t="shared" si="7"/>
        <v>-4057716.4644644856</v>
      </c>
      <c r="L24" s="30">
        <f t="shared" si="8"/>
        <v>14.616290616178276</v>
      </c>
      <c r="M24" s="58">
        <f t="shared" si="4"/>
        <v>876977.43697069655</v>
      </c>
      <c r="N24" s="58">
        <f>IF(Tableau3[[#This Row],[ECART DE SCSP CORIGÉE PAR LA VARIABLE DÉMOGRAPHIQUE / MOYENNE DE SON TYPE D''UNIVERSITÉ]]-Tableau3[[#This Row],[masse salariale manquante]]&gt;0,Tableau3[[#This Row],[ECART DE SCSP CORIGÉE PAR LA VARIABLE DÉMOGRAPHIQUE / MOYENNE DE SON TYPE D''UNIVERSITÉ]]-Tableau3[[#This Row],[masse salariale manquante]],0)</f>
        <v>0</v>
      </c>
      <c r="O24" s="71">
        <f>Tableau3[[#This Row],[Subventions pour charges de service public (SCSP) notifiées en CP en 2019 au titre des programmes 150 et 231 (en euros)]]+Tableau3[[#This Row],[masse salariale manquante]]+Tableau3[[#This Row],[masse salariale supplémentaire à la SCSP corrigée par la variable démographique]]</f>
        <v>114744415.4369707</v>
      </c>
      <c r="P24" s="71">
        <f t="shared" si="5"/>
        <v>117262567.41710037</v>
      </c>
      <c r="Q24" s="74"/>
      <c r="R24" s="74"/>
      <c r="S24" s="104">
        <f t="shared" si="6"/>
        <v>72094.324840764326</v>
      </c>
    </row>
    <row r="25" spans="1:23">
      <c r="A25" s="134" t="s">
        <v>197</v>
      </c>
      <c r="B25" s="135" t="s">
        <v>6</v>
      </c>
      <c r="C25" s="135" t="s">
        <v>371</v>
      </c>
      <c r="D25" s="135" t="s">
        <v>253</v>
      </c>
      <c r="E25" s="207">
        <v>172168478</v>
      </c>
      <c r="F25" s="222">
        <v>190426566</v>
      </c>
      <c r="G25" s="136">
        <v>2368</v>
      </c>
      <c r="H25" s="173">
        <v>24888</v>
      </c>
      <c r="I25" s="27">
        <f t="shared" si="0"/>
        <v>7651.3406460945034</v>
      </c>
      <c r="J25" s="28">
        <f t="shared" si="1"/>
        <v>9.5146255223400846</v>
      </c>
      <c r="K25" s="33">
        <f t="shared" si="7"/>
        <v>-8678587.7080263495</v>
      </c>
      <c r="L25" s="32">
        <f t="shared" si="8"/>
        <v>-5.1274695181587049</v>
      </c>
      <c r="M25" s="58">
        <f t="shared" si="4"/>
        <v>0</v>
      </c>
      <c r="N25" s="58">
        <f>IF(Tableau3[[#This Row],[ECART DE SCSP CORIGÉE PAR LA VARIABLE DÉMOGRAPHIQUE / MOYENNE DE SON TYPE D''UNIVERSITÉ]]-Tableau3[[#This Row],[masse salariale manquante]]&gt;0,Tableau3[[#This Row],[ECART DE SCSP CORIGÉE PAR LA VARIABLE DÉMOGRAPHIQUE / MOYENNE DE SON TYPE D''UNIVERSITÉ]]-Tableau3[[#This Row],[masse salariale manquante]],0)</f>
        <v>0</v>
      </c>
      <c r="O25" s="71">
        <f>Tableau3[[#This Row],[Subventions pour charges de service public (SCSP) notifiées en CP en 2019 au titre des programmes 150 et 231 (en euros)]]+Tableau3[[#This Row],[masse salariale manquante]]+Tableau3[[#This Row],[masse salariale supplémentaire à la SCSP corrigée par la variable démographique]]</f>
        <v>190426566</v>
      </c>
      <c r="P25" s="71">
        <f t="shared" si="5"/>
        <v>194605619.35450158</v>
      </c>
      <c r="Q25" s="74"/>
      <c r="R25" s="74"/>
      <c r="S25" s="104">
        <f t="shared" si="6"/>
        <v>72706.282939189186</v>
      </c>
    </row>
    <row r="26" spans="1:23">
      <c r="A26" s="134" t="s">
        <v>197</v>
      </c>
      <c r="B26" s="135" t="s">
        <v>6</v>
      </c>
      <c r="C26" s="135" t="s">
        <v>49</v>
      </c>
      <c r="D26" s="135" t="s">
        <v>49</v>
      </c>
      <c r="E26" s="207">
        <v>173781759</v>
      </c>
      <c r="F26" s="222">
        <v>202899624</v>
      </c>
      <c r="G26" s="136">
        <v>2596</v>
      </c>
      <c r="H26" s="173">
        <v>26336</v>
      </c>
      <c r="I26" s="27">
        <f t="shared" si="0"/>
        <v>7704.2688335358444</v>
      </c>
      <c r="J26" s="28">
        <f t="shared" si="1"/>
        <v>9.8572296476306196</v>
      </c>
      <c r="K26" s="33">
        <f t="shared" si="7"/>
        <v>-10577430.320418745</v>
      </c>
      <c r="L26" s="32">
        <f t="shared" si="8"/>
        <v>-95.654011460552738</v>
      </c>
      <c r="M26" s="58">
        <f t="shared" si="4"/>
        <v>0</v>
      </c>
      <c r="N26" s="58">
        <f>IF(Tableau3[[#This Row],[ECART DE SCSP CORIGÉE PAR LA VARIABLE DÉMOGRAPHIQUE / MOYENNE DE SON TYPE D''UNIVERSITÉ]]-Tableau3[[#This Row],[masse salariale manquante]]&gt;0,Tableau3[[#This Row],[ECART DE SCSP CORIGÉE PAR LA VARIABLE DÉMOGRAPHIQUE / MOYENNE DE SON TYPE D''UNIVERSITÉ]]-Tableau3[[#This Row],[masse salariale manquante]],0)</f>
        <v>0</v>
      </c>
      <c r="O26" s="71">
        <f>Tableau3[[#This Row],[Subventions pour charges de service public (SCSP) notifiées en CP en 2019 au titre des programmes 150 et 231 (en euros)]]+Tableau3[[#This Row],[masse salariale manquante]]+Tableau3[[#This Row],[masse salariale supplémentaire à la SCSP corrigée par la variable démographique]]</f>
        <v>202899624</v>
      </c>
      <c r="P26" s="71">
        <f t="shared" si="5"/>
        <v>207352407.93721759</v>
      </c>
      <c r="Q26" s="72"/>
      <c r="R26" s="72"/>
      <c r="S26" s="104">
        <f t="shared" si="6"/>
        <v>66942.125963020037</v>
      </c>
    </row>
    <row r="27" spans="1:23">
      <c r="A27" s="134" t="s">
        <v>197</v>
      </c>
      <c r="B27" s="135" t="s">
        <v>6</v>
      </c>
      <c r="C27" s="135" t="s">
        <v>12</v>
      </c>
      <c r="D27" s="135" t="s">
        <v>245</v>
      </c>
      <c r="E27" s="207">
        <v>152768990</v>
      </c>
      <c r="F27" s="222">
        <v>167921073</v>
      </c>
      <c r="G27" s="136">
        <v>2289</v>
      </c>
      <c r="H27" s="173">
        <v>21237</v>
      </c>
      <c r="I27" s="27">
        <f t="shared" si="0"/>
        <v>7907.0053679898292</v>
      </c>
      <c r="J27" s="28">
        <f t="shared" si="1"/>
        <v>10.778358525215426</v>
      </c>
      <c r="K27" s="33">
        <f t="shared" si="7"/>
        <v>-12835014.860067308</v>
      </c>
      <c r="L27" s="32">
        <f t="shared" si="8"/>
        <v>-272.7542618995958</v>
      </c>
      <c r="M27" s="58">
        <f t="shared" si="4"/>
        <v>0</v>
      </c>
      <c r="N27" s="58">
        <f>IF(Tableau3[[#This Row],[ECART DE SCSP CORIGÉE PAR LA VARIABLE DÉMOGRAPHIQUE / MOYENNE DE SON TYPE D''UNIVERSITÉ]]-Tableau3[[#This Row],[masse salariale manquante]]&gt;0,Tableau3[[#This Row],[ECART DE SCSP CORIGÉE PAR LA VARIABLE DÉMOGRAPHIQUE / MOYENNE DE SON TYPE D''UNIVERSITÉ]]-Tableau3[[#This Row],[masse salariale manquante]],0)</f>
        <v>0</v>
      </c>
      <c r="O27" s="71">
        <f>Tableau3[[#This Row],[Subventions pour charges de service public (SCSP) notifiées en CP en 2019 au titre des programmes 150 et 231 (en euros)]]+Tableau3[[#This Row],[masse salariale manquante]]+Tableau3[[#This Row],[masse salariale supplémentaire à la SCSP corrigée par la variable démographique]]</f>
        <v>167921073</v>
      </c>
      <c r="P27" s="71">
        <f t="shared" si="5"/>
        <v>171606226.48542362</v>
      </c>
      <c r="Q27" s="74"/>
      <c r="R27" s="74"/>
      <c r="S27" s="104">
        <f t="shared" si="6"/>
        <v>66740.493665356043</v>
      </c>
    </row>
    <row r="28" spans="1:23">
      <c r="A28" s="134" t="s">
        <v>197</v>
      </c>
      <c r="B28" s="135" t="s">
        <v>2</v>
      </c>
      <c r="C28" s="135" t="s">
        <v>3</v>
      </c>
      <c r="D28" s="135" t="s">
        <v>304</v>
      </c>
      <c r="E28" s="207">
        <v>462783333</v>
      </c>
      <c r="F28" s="222">
        <v>509286637</v>
      </c>
      <c r="G28" s="136">
        <v>6722</v>
      </c>
      <c r="H28" s="173">
        <v>64403</v>
      </c>
      <c r="I28" s="27">
        <f t="shared" si="0"/>
        <v>7907.8092169619431</v>
      </c>
      <c r="J28" s="28">
        <f t="shared" si="1"/>
        <v>10.43740198437961</v>
      </c>
      <c r="K28" s="33">
        <f t="shared" si="7"/>
        <v>-38975039.204356313</v>
      </c>
      <c r="L28" s="32">
        <f t="shared" si="8"/>
        <v>-607.56414414087067</v>
      </c>
      <c r="M28" s="58">
        <f t="shared" si="4"/>
        <v>0</v>
      </c>
      <c r="N28" s="58">
        <f>IF(Tableau3[[#This Row],[ECART DE SCSP CORIGÉE PAR LA VARIABLE DÉMOGRAPHIQUE / MOYENNE DE SON TYPE D''UNIVERSITÉ]]-Tableau3[[#This Row],[masse salariale manquante]]&gt;0,Tableau3[[#This Row],[ECART DE SCSP CORIGÉE PAR LA VARIABLE DÉMOGRAPHIQUE / MOYENNE DE SON TYPE D''UNIVERSITÉ]]-Tableau3[[#This Row],[masse salariale manquante]],0)</f>
        <v>0</v>
      </c>
      <c r="O28" s="71">
        <f>Tableau3[[#This Row],[Subventions pour charges de service public (SCSP) notifiées en CP en 2019 au titre des programmes 150 et 231 (en euros)]]+Tableau3[[#This Row],[masse salariale manquante]]+Tableau3[[#This Row],[masse salariale supplémentaire à la SCSP corrigée par la variable démographique]]</f>
        <v>509286637</v>
      </c>
      <c r="P28" s="71">
        <f t="shared" si="5"/>
        <v>520463312.99360937</v>
      </c>
      <c r="Q28" s="74"/>
      <c r="R28" s="74"/>
      <c r="S28" s="104">
        <f t="shared" si="6"/>
        <v>68846.077506694433</v>
      </c>
    </row>
    <row r="29" spans="1:23">
      <c r="A29" s="134" t="s">
        <v>197</v>
      </c>
      <c r="B29" s="135" t="s">
        <v>8</v>
      </c>
      <c r="C29" s="135" t="s">
        <v>9</v>
      </c>
      <c r="D29" s="135" t="s">
        <v>244</v>
      </c>
      <c r="E29" s="207">
        <v>79443514</v>
      </c>
      <c r="F29" s="222">
        <v>85991020</v>
      </c>
      <c r="G29" s="135">
        <v>971</v>
      </c>
      <c r="H29" s="173">
        <v>10651</v>
      </c>
      <c r="I29" s="27">
        <f t="shared" si="0"/>
        <v>8073.5161017744813</v>
      </c>
      <c r="J29" s="28">
        <f t="shared" si="1"/>
        <v>9.1165148812318098</v>
      </c>
      <c r="K29" s="33">
        <f t="shared" si="7"/>
        <v>-8210655.294607386</v>
      </c>
      <c r="L29" s="32">
        <f t="shared" si="8"/>
        <v>40.208426637821049</v>
      </c>
      <c r="M29" s="58">
        <f t="shared" si="4"/>
        <v>2412505.5982692628</v>
      </c>
      <c r="N29" s="58">
        <f>IF(Tableau3[[#This Row],[ECART DE SCSP CORIGÉE PAR LA VARIABLE DÉMOGRAPHIQUE / MOYENNE DE SON TYPE D''UNIVERSITÉ]]-Tableau3[[#This Row],[masse salariale manquante]]&gt;0,Tableau3[[#This Row],[ECART DE SCSP CORIGÉE PAR LA VARIABLE DÉMOGRAPHIQUE / MOYENNE DE SON TYPE D''UNIVERSITÉ]]-Tableau3[[#This Row],[masse salariale manquante]],0)</f>
        <v>0</v>
      </c>
      <c r="O29" s="71">
        <f>Tableau3[[#This Row],[Subventions pour charges de service public (SCSP) notifiées en CP en 2019 au titre des programmes 150 et 231 (en euros)]]+Tableau3[[#This Row],[masse salariale manquante]]+Tableau3[[#This Row],[masse salariale supplémentaire à la SCSP corrigée par la variable démographique]]</f>
        <v>88403525.598269269</v>
      </c>
      <c r="P29" s="71">
        <f t="shared" si="5"/>
        <v>90343607.058338299</v>
      </c>
      <c r="Q29" s="74"/>
      <c r="R29" s="74"/>
      <c r="S29" s="104">
        <f t="shared" si="6"/>
        <v>81816.183316168899</v>
      </c>
    </row>
    <row r="30" spans="1:23">
      <c r="A30" s="134" t="s">
        <v>197</v>
      </c>
      <c r="B30" s="135" t="s">
        <v>37</v>
      </c>
      <c r="C30" s="135" t="s">
        <v>38</v>
      </c>
      <c r="D30" s="135" t="s">
        <v>251</v>
      </c>
      <c r="E30" s="207">
        <v>440879758</v>
      </c>
      <c r="F30" s="222">
        <v>487809015</v>
      </c>
      <c r="G30" s="136">
        <v>6207</v>
      </c>
      <c r="H30" s="173">
        <v>59976</v>
      </c>
      <c r="I30" s="27">
        <f t="shared" si="0"/>
        <v>8133.403611444578</v>
      </c>
      <c r="J30" s="28">
        <f t="shared" si="1"/>
        <v>10.349139655862345</v>
      </c>
      <c r="K30" s="33">
        <f t="shared" si="7"/>
        <v>-49826182.066883147</v>
      </c>
      <c r="L30" s="32">
        <f t="shared" si="8"/>
        <v>-512.86455769130043</v>
      </c>
      <c r="M30" s="58">
        <f t="shared" si="4"/>
        <v>0</v>
      </c>
      <c r="N30" s="58">
        <f>IF(Tableau3[[#This Row],[ECART DE SCSP CORIGÉE PAR LA VARIABLE DÉMOGRAPHIQUE / MOYENNE DE SON TYPE D''UNIVERSITÉ]]-Tableau3[[#This Row],[masse salariale manquante]]&gt;0,Tableau3[[#This Row],[ECART DE SCSP CORIGÉE PAR LA VARIABLE DÉMOGRAPHIQUE / MOYENNE DE SON TYPE D''UNIVERSITÉ]]-Tableau3[[#This Row],[masse salariale manquante]],0)</f>
        <v>0</v>
      </c>
      <c r="O30" s="71">
        <f>Tableau3[[#This Row],[Subventions pour charges de service public (SCSP) notifiées en CP en 2019 au titre des programmes 150 et 231 (en euros)]]+Tableau3[[#This Row],[masse salariale manquante]]+Tableau3[[#This Row],[masse salariale supplémentaire à la SCSP corrigée par la variable démographique]]</f>
        <v>487809015</v>
      </c>
      <c r="P30" s="71">
        <f t="shared" si="5"/>
        <v>498514348.52206671</v>
      </c>
      <c r="Q30" s="72"/>
      <c r="R30" s="72"/>
      <c r="S30" s="104">
        <f t="shared" si="6"/>
        <v>71029.443853713543</v>
      </c>
    </row>
    <row r="31" spans="1:23">
      <c r="A31" s="134" t="s">
        <v>197</v>
      </c>
      <c r="B31" s="135" t="s">
        <v>25</v>
      </c>
      <c r="C31" s="135" t="s">
        <v>26</v>
      </c>
      <c r="D31" s="135" t="s">
        <v>248</v>
      </c>
      <c r="E31" s="207">
        <v>326542606</v>
      </c>
      <c r="F31" s="222">
        <v>360658020</v>
      </c>
      <c r="G31" s="136">
        <v>4694</v>
      </c>
      <c r="H31" s="173">
        <v>42889</v>
      </c>
      <c r="I31" s="27">
        <f t="shared" si="0"/>
        <v>8409.1030334118313</v>
      </c>
      <c r="J31" s="28">
        <f t="shared" si="1"/>
        <v>10.944531231784374</v>
      </c>
      <c r="K31" s="33">
        <f t="shared" si="7"/>
        <v>-47455310.22161448</v>
      </c>
      <c r="L31" s="32">
        <f t="shared" si="8"/>
        <v>-622.10832691113455</v>
      </c>
      <c r="M31" s="58">
        <f t="shared" si="4"/>
        <v>0</v>
      </c>
      <c r="N31" s="58">
        <f>IF(Tableau3[[#This Row],[ECART DE SCSP CORIGÉE PAR LA VARIABLE DÉMOGRAPHIQUE / MOYENNE DE SON TYPE D''UNIVERSITÉ]]-Tableau3[[#This Row],[masse salariale manquante]]&gt;0,Tableau3[[#This Row],[ECART DE SCSP CORIGÉE PAR LA VARIABLE DÉMOGRAPHIQUE / MOYENNE DE SON TYPE D''UNIVERSITÉ]]-Tableau3[[#This Row],[masse salariale manquante]],0)</f>
        <v>0</v>
      </c>
      <c r="O31" s="71">
        <f>Tableau3[[#This Row],[Subventions pour charges de service public (SCSP) notifiées en CP en 2019 au titre des programmes 150 et 231 (en euros)]]+Tableau3[[#This Row],[masse salariale manquante]]+Tableau3[[#This Row],[masse salariale supplémentaire à la SCSP corrigée par la variable démographique]]</f>
        <v>360658020</v>
      </c>
      <c r="P31" s="71">
        <f t="shared" si="5"/>
        <v>368572929.8782199</v>
      </c>
      <c r="Q31" s="73"/>
      <c r="R31" s="73"/>
      <c r="S31" s="104">
        <f t="shared" si="6"/>
        <v>69565.95781849169</v>
      </c>
    </row>
    <row r="32" spans="1:23">
      <c r="A32" s="134" t="s">
        <v>197</v>
      </c>
      <c r="B32" s="135" t="s">
        <v>33</v>
      </c>
      <c r="C32" s="135" t="s">
        <v>56</v>
      </c>
      <c r="D32" s="135" t="s">
        <v>255</v>
      </c>
      <c r="E32" s="207">
        <v>451322398</v>
      </c>
      <c r="F32" s="222">
        <v>494347412</v>
      </c>
      <c r="G32" s="136">
        <v>6839</v>
      </c>
      <c r="H32" s="173">
        <v>49708</v>
      </c>
      <c r="I32" s="27">
        <f t="shared" si="0"/>
        <v>9945.0271988412333</v>
      </c>
      <c r="J32" s="28">
        <f t="shared" si="1"/>
        <v>13.758348756739359</v>
      </c>
      <c r="K32" s="33">
        <f t="shared" si="7"/>
        <v>-131348034.59171379</v>
      </c>
      <c r="L32" s="32">
        <f t="shared" si="8"/>
        <v>-2119.7108749119516</v>
      </c>
      <c r="M32" s="58">
        <f t="shared" si="4"/>
        <v>0</v>
      </c>
      <c r="N32" s="58">
        <f>IF(Tableau3[[#This Row],[ECART DE SCSP CORIGÉE PAR LA VARIABLE DÉMOGRAPHIQUE / MOYENNE DE SON TYPE D''UNIVERSITÉ]]-Tableau3[[#This Row],[masse salariale manquante]]&gt;0,Tableau3[[#This Row],[ECART DE SCSP CORIGÉE PAR LA VARIABLE DÉMOGRAPHIQUE / MOYENNE DE SON TYPE D''UNIVERSITÉ]]-Tableau3[[#This Row],[masse salariale manquante]],0)</f>
        <v>0</v>
      </c>
      <c r="O32" s="71">
        <f>Tableau3[[#This Row],[Subventions pour charges de service public (SCSP) notifiées en CP en 2019 au titre des programmes 150 et 231 (en euros)]]+Tableau3[[#This Row],[masse salariale manquante]]+Tableau3[[#This Row],[masse salariale supplémentaire à la SCSP corrigée par la variable démographique]]</f>
        <v>494347412</v>
      </c>
      <c r="P32" s="71">
        <f t="shared" si="5"/>
        <v>505196235.53236246</v>
      </c>
      <c r="Q32" s="72"/>
      <c r="R32" s="72"/>
      <c r="S32" s="104">
        <f t="shared" si="6"/>
        <v>65992.454744845731</v>
      </c>
    </row>
    <row r="33" spans="1:19">
      <c r="A33" s="134" t="s">
        <v>197</v>
      </c>
      <c r="B33" s="135" t="s">
        <v>18</v>
      </c>
      <c r="C33" s="135" t="s">
        <v>166</v>
      </c>
      <c r="D33" s="135" t="s">
        <v>255</v>
      </c>
      <c r="E33" s="207">
        <v>230773098</v>
      </c>
      <c r="F33" s="222">
        <v>258003073</v>
      </c>
      <c r="G33" s="136">
        <v>3335</v>
      </c>
      <c r="H33" s="173">
        <v>24272</v>
      </c>
      <c r="I33" s="27">
        <f t="shared" si="0"/>
        <v>10629.658577785101</v>
      </c>
      <c r="J33" s="28">
        <f t="shared" si="1"/>
        <v>13.740112063282794</v>
      </c>
      <c r="K33" s="33">
        <f t="shared" si="7"/>
        <v>-80753517.828721285</v>
      </c>
      <c r="L33" s="32">
        <f t="shared" si="8"/>
        <v>-1030.6106533327206</v>
      </c>
      <c r="M33" s="58">
        <f t="shared" si="4"/>
        <v>0</v>
      </c>
      <c r="N33" s="58">
        <f>IF(Tableau3[[#This Row],[ECART DE SCSP CORIGÉE PAR LA VARIABLE DÉMOGRAPHIQUE / MOYENNE DE SON TYPE D''UNIVERSITÉ]]-Tableau3[[#This Row],[masse salariale manquante]]&gt;0,Tableau3[[#This Row],[ECART DE SCSP CORIGÉE PAR LA VARIABLE DÉMOGRAPHIQUE / MOYENNE DE SON TYPE D''UNIVERSITÉ]]-Tableau3[[#This Row],[masse salariale manquante]],0)</f>
        <v>0</v>
      </c>
      <c r="O33" s="71">
        <f>Tableau3[[#This Row],[Subventions pour charges de service public (SCSP) notifiées en CP en 2019 au titre des programmes 150 et 231 (en euros)]]+Tableau3[[#This Row],[masse salariale manquante]]+Tableau3[[#This Row],[masse salariale supplémentaire à la SCSP corrigée par la variable démographique]]</f>
        <v>258003073</v>
      </c>
      <c r="P33" s="71">
        <f t="shared" si="5"/>
        <v>263665143.32107255</v>
      </c>
      <c r="Q33" s="74"/>
      <c r="R33" s="74"/>
      <c r="S33" s="104">
        <f t="shared" si="6"/>
        <v>69197.330734632676</v>
      </c>
    </row>
    <row r="34" spans="1:19">
      <c r="A34" s="140" t="s">
        <v>200</v>
      </c>
      <c r="B34" s="141" t="s">
        <v>4</v>
      </c>
      <c r="C34" s="141" t="s">
        <v>44</v>
      </c>
      <c r="D34" s="141" t="s">
        <v>41</v>
      </c>
      <c r="E34" s="208">
        <v>16628230</v>
      </c>
      <c r="F34" s="223">
        <v>18896666</v>
      </c>
      <c r="G34" s="141">
        <v>218</v>
      </c>
      <c r="H34" s="175">
        <v>4504</v>
      </c>
      <c r="I34" s="36">
        <f t="shared" si="0"/>
        <v>4195.5297513321493</v>
      </c>
      <c r="J34" s="37">
        <f t="shared" si="1"/>
        <v>4.8401420959147421</v>
      </c>
      <c r="K34" s="38">
        <f>$I$76*H34-F34</f>
        <v>13950408.328102823</v>
      </c>
      <c r="L34" s="39">
        <f>$J$76*H34/100-G34</f>
        <v>193.75279287476934</v>
      </c>
      <c r="M34" s="58">
        <f t="shared" si="4"/>
        <v>11625167.57248616</v>
      </c>
      <c r="N34" s="58">
        <f>IF(Tableau3[[#This Row],[ECART DE SCSP CORIGÉE PAR LA VARIABLE DÉMOGRAPHIQUE / MOYENNE DE SON TYPE D''UNIVERSITÉ]]-Tableau3[[#This Row],[masse salariale manquante]]&gt;0,Tableau3[[#This Row],[ECART DE SCSP CORIGÉE PAR LA VARIABLE DÉMOGRAPHIQUE / MOYENNE DE SON TYPE D''UNIVERSITÉ]]-Tableau3[[#This Row],[masse salariale manquante]],0)</f>
        <v>2325240.755616663</v>
      </c>
      <c r="O34" s="71">
        <f>Tableau3[[#This Row],[Subventions pour charges de service public (SCSP) notifiées en CP en 2019 au titre des programmes 150 et 231 (en euros)]]+Tableau3[[#This Row],[masse salariale manquante]]+Tableau3[[#This Row],[masse salariale supplémentaire à la SCSP corrigée par la variable démographique]]</f>
        <v>32847074.328102827</v>
      </c>
      <c r="P34" s="71">
        <f t="shared" si="5"/>
        <v>33567927.930831872</v>
      </c>
      <c r="Q34" s="74"/>
      <c r="R34" s="74"/>
      <c r="S34" s="104">
        <f t="shared" si="6"/>
        <v>76276.284403669721</v>
      </c>
    </row>
    <row r="35" spans="1:19">
      <c r="A35" s="140" t="s">
        <v>200</v>
      </c>
      <c r="B35" s="141" t="s">
        <v>18</v>
      </c>
      <c r="C35" s="141" t="s">
        <v>19</v>
      </c>
      <c r="D35" s="141" t="s">
        <v>303</v>
      </c>
      <c r="E35" s="208">
        <v>112313336</v>
      </c>
      <c r="F35" s="223">
        <v>124512845</v>
      </c>
      <c r="G35" s="142">
        <v>1554</v>
      </c>
      <c r="H35" s="175">
        <v>20496</v>
      </c>
      <c r="I35" s="36">
        <f t="shared" si="0"/>
        <v>6074.9826795472291</v>
      </c>
      <c r="J35" s="37">
        <f t="shared" si="1"/>
        <v>7.581967213114754</v>
      </c>
      <c r="K35" s="40">
        <f>$I$76*H35-F35</f>
        <v>24961763.221313387</v>
      </c>
      <c r="L35" s="41">
        <f>$J$76*H35/100-G35</f>
        <v>319.73118178536242</v>
      </c>
      <c r="M35" s="58">
        <f t="shared" si="4"/>
        <v>19183870.907121744</v>
      </c>
      <c r="N35" s="58">
        <f>IF(Tableau3[[#This Row],[ECART DE SCSP CORIGÉE PAR LA VARIABLE DÉMOGRAPHIQUE / MOYENNE DE SON TYPE D''UNIVERSITÉ]]-Tableau3[[#This Row],[masse salariale manquante]]&gt;0,Tableau3[[#This Row],[ECART DE SCSP CORIGÉE PAR LA VARIABLE DÉMOGRAPHIQUE / MOYENNE DE SON TYPE D''UNIVERSITÉ]]-Tableau3[[#This Row],[masse salariale manquante]],0)</f>
        <v>5777892.3141916431</v>
      </c>
      <c r="O35" s="71">
        <f>Tableau3[[#This Row],[Subventions pour charges de service public (SCSP) notifiées en CP en 2019 au titre des programmes 150 et 231 (en euros)]]+Tableau3[[#This Row],[masse salariale manquante]]+Tableau3[[#This Row],[masse salariale supplémentaire à la SCSP corrigée par la variable démographique]]</f>
        <v>149474608.22131339</v>
      </c>
      <c r="P35" s="71">
        <f t="shared" si="5"/>
        <v>152754940.24652088</v>
      </c>
      <c r="Q35" s="72"/>
      <c r="R35" s="72"/>
      <c r="S35" s="104">
        <f t="shared" si="6"/>
        <v>72273.703989703994</v>
      </c>
    </row>
    <row r="36" spans="1:19">
      <c r="A36" s="140" t="s">
        <v>200</v>
      </c>
      <c r="B36" s="141" t="s">
        <v>18</v>
      </c>
      <c r="C36" s="141" t="s">
        <v>334</v>
      </c>
      <c r="D36" s="141" t="s">
        <v>252</v>
      </c>
      <c r="E36" s="208">
        <v>75536205</v>
      </c>
      <c r="F36" s="223">
        <v>80090832</v>
      </c>
      <c r="G36" s="141">
        <v>996</v>
      </c>
      <c r="H36" s="175">
        <v>11802</v>
      </c>
      <c r="I36" s="36">
        <f t="shared" ref="I36:I67" si="9">F36/H36</f>
        <v>6786.2084392475854</v>
      </c>
      <c r="J36" s="37">
        <f t="shared" ref="J36:J72" si="10">G36/H36*100</f>
        <v>8.4392475851550586</v>
      </c>
      <c r="K36" s="38">
        <f>$I$76*H36-F36</f>
        <v>5979587.8979284018</v>
      </c>
      <c r="L36" s="39">
        <f>$J$76*H36/100-G36</f>
        <v>82.931274757555002</v>
      </c>
      <c r="M36" s="58">
        <f t="shared" ref="M36:M67" si="11">IF(L36&gt;0,L36*$O$2,0)</f>
        <v>4975876.4854533002</v>
      </c>
      <c r="N36" s="58">
        <f>IF(Tableau3[[#This Row],[ECART DE SCSP CORIGÉE PAR LA VARIABLE DÉMOGRAPHIQUE / MOYENNE DE SON TYPE D''UNIVERSITÉ]]-Tableau3[[#This Row],[masse salariale manquante]]&gt;0,Tableau3[[#This Row],[ECART DE SCSP CORIGÉE PAR LA VARIABLE DÉMOGRAPHIQUE / MOYENNE DE SON TYPE D''UNIVERSITÉ]]-Tableau3[[#This Row],[masse salariale manquante]],0)</f>
        <v>1003711.4124751016</v>
      </c>
      <c r="O36" s="71">
        <f>Tableau3[[#This Row],[Subventions pour charges de service public (SCSP) notifiées en CP en 2019 au titre des programmes 150 et 231 (en euros)]]+Tableau3[[#This Row],[masse salariale manquante]]+Tableau3[[#This Row],[masse salariale supplémentaire à la SCSP corrigée par la variable démographique]]</f>
        <v>86070419.897928417</v>
      </c>
      <c r="P36" s="71">
        <f t="shared" ref="P36:P67" si="12">$T$2*O36</f>
        <v>87959299.6091647</v>
      </c>
      <c r="Q36" s="72"/>
      <c r="R36" s="72"/>
      <c r="S36" s="104">
        <f t="shared" ref="S36:S72" si="13">E36/G36</f>
        <v>75839.563253012049</v>
      </c>
    </row>
    <row r="37" spans="1:19">
      <c r="A37" s="140" t="s">
        <v>200</v>
      </c>
      <c r="B37" s="141" t="s">
        <v>39</v>
      </c>
      <c r="C37" s="141" t="s">
        <v>48</v>
      </c>
      <c r="D37" s="141" t="s">
        <v>41</v>
      </c>
      <c r="E37" s="208">
        <v>55578775</v>
      </c>
      <c r="F37" s="223">
        <v>60602291</v>
      </c>
      <c r="G37" s="141">
        <v>761</v>
      </c>
      <c r="H37" s="175">
        <v>8837</v>
      </c>
      <c r="I37" s="36">
        <f t="shared" si="9"/>
        <v>6857.7900871336424</v>
      </c>
      <c r="J37" s="37">
        <f t="shared" si="10"/>
        <v>8.6115197465203117</v>
      </c>
      <c r="K37" s="38">
        <f>$I$76*H37-F37</f>
        <v>3844777.3475676402</v>
      </c>
      <c r="L37" s="39">
        <f>$J$76*H37/100-G37</f>
        <v>46.872875362863397</v>
      </c>
      <c r="M37" s="58">
        <f t="shared" si="11"/>
        <v>2812372.521771804</v>
      </c>
      <c r="N37" s="58">
        <f>IF(Tableau3[[#This Row],[ECART DE SCSP CORIGÉE PAR LA VARIABLE DÉMOGRAPHIQUE / MOYENNE DE SON TYPE D''UNIVERSITÉ]]-Tableau3[[#This Row],[masse salariale manquante]]&gt;0,Tableau3[[#This Row],[ECART DE SCSP CORIGÉE PAR LA VARIABLE DÉMOGRAPHIQUE / MOYENNE DE SON TYPE D''UNIVERSITÉ]]-Tableau3[[#This Row],[masse salariale manquante]],0)</f>
        <v>1032404.8257958363</v>
      </c>
      <c r="O37" s="71">
        <f>Tableau3[[#This Row],[Subventions pour charges de service public (SCSP) notifiées en CP en 2019 au titre des programmes 150 et 231 (en euros)]]+Tableau3[[#This Row],[masse salariale manquante]]+Tableau3[[#This Row],[masse salariale supplémentaire à la SCSP corrigée par la variable démographique]]</f>
        <v>64447068.34756764</v>
      </c>
      <c r="P37" s="71">
        <f t="shared" si="12"/>
        <v>65861407.443330646</v>
      </c>
      <c r="Q37" s="72"/>
      <c r="R37" s="72"/>
      <c r="S37" s="104">
        <f t="shared" si="13"/>
        <v>73033.869908015768</v>
      </c>
    </row>
    <row r="38" spans="1:19">
      <c r="A38" s="140" t="s">
        <v>200</v>
      </c>
      <c r="B38" s="141" t="s">
        <v>4</v>
      </c>
      <c r="C38" s="141" t="s">
        <v>173</v>
      </c>
      <c r="D38" s="141" t="s">
        <v>248</v>
      </c>
      <c r="E38" s="208">
        <v>82442076</v>
      </c>
      <c r="F38" s="223">
        <v>91516699</v>
      </c>
      <c r="G38" s="142">
        <v>1112</v>
      </c>
      <c r="H38" s="175">
        <v>13276</v>
      </c>
      <c r="I38" s="36">
        <f t="shared" si="9"/>
        <v>6893.3940192829168</v>
      </c>
      <c r="J38" s="37">
        <f t="shared" si="10"/>
        <v>8.3760168725519737</v>
      </c>
      <c r="K38" s="38">
        <f>$I$75*H38-F38</f>
        <v>5433082.4128994793</v>
      </c>
      <c r="L38" s="39">
        <f>$J$75*H38/100-G38</f>
        <v>148.42653948396492</v>
      </c>
      <c r="M38" s="58">
        <f t="shared" si="11"/>
        <v>8905592.3690378945</v>
      </c>
      <c r="N38" s="58">
        <f>IF(Tableau3[[#This Row],[ECART DE SCSP CORIGÉE PAR LA VARIABLE DÉMOGRAPHIQUE / MOYENNE DE SON TYPE D''UNIVERSITÉ]]-Tableau3[[#This Row],[masse salariale manquante]]&gt;0,Tableau3[[#This Row],[ECART DE SCSP CORIGÉE PAR LA VARIABLE DÉMOGRAPHIQUE / MOYENNE DE SON TYPE D''UNIVERSITÉ]]-Tableau3[[#This Row],[masse salariale manquante]],0)</f>
        <v>0</v>
      </c>
      <c r="O38" s="71">
        <f>Tableau3[[#This Row],[Subventions pour charges de service public (SCSP) notifiées en CP en 2019 au titre des programmes 150 et 231 (en euros)]]+Tableau3[[#This Row],[masse salariale manquante]]+Tableau3[[#This Row],[masse salariale supplémentaire à la SCSP corrigée par la variable démographique]]</f>
        <v>100422291.3690379</v>
      </c>
      <c r="P38" s="71">
        <f t="shared" si="12"/>
        <v>102626133.62922187</v>
      </c>
      <c r="Q38" s="72"/>
      <c r="R38" s="72"/>
      <c r="S38" s="104">
        <f t="shared" si="13"/>
        <v>74138.557553956838</v>
      </c>
    </row>
    <row r="39" spans="1:19">
      <c r="A39" s="140" t="s">
        <v>200</v>
      </c>
      <c r="B39" s="141" t="s">
        <v>6</v>
      </c>
      <c r="C39" s="141" t="s">
        <v>11</v>
      </c>
      <c r="D39" s="141" t="s">
        <v>304</v>
      </c>
      <c r="E39" s="208">
        <v>44887571</v>
      </c>
      <c r="F39" s="223">
        <v>50063356</v>
      </c>
      <c r="G39" s="141">
        <v>639</v>
      </c>
      <c r="H39" s="175">
        <v>6954</v>
      </c>
      <c r="I39" s="36">
        <f t="shared" si="9"/>
        <v>7199.2171412136904</v>
      </c>
      <c r="J39" s="37">
        <f t="shared" si="10"/>
        <v>9.1889559965487493</v>
      </c>
      <c r="K39" s="38">
        <f t="shared" ref="K39:K54" si="14">$I$76*H39-F39</f>
        <v>651243.21794561297</v>
      </c>
      <c r="L39" s="39">
        <f t="shared" ref="L39:L54" si="15">$J$76*H39/100-G39</f>
        <v>-3.2697776085376518</v>
      </c>
      <c r="M39" s="58">
        <f t="shared" si="11"/>
        <v>0</v>
      </c>
      <c r="N39" s="58">
        <f>IF(Tableau3[[#This Row],[ECART DE SCSP CORIGÉE PAR LA VARIABLE DÉMOGRAPHIQUE / MOYENNE DE SON TYPE D''UNIVERSITÉ]]-Tableau3[[#This Row],[masse salariale manquante]]&gt;0,Tableau3[[#This Row],[ECART DE SCSP CORIGÉE PAR LA VARIABLE DÉMOGRAPHIQUE / MOYENNE DE SON TYPE D''UNIVERSITÉ]]-Tableau3[[#This Row],[masse salariale manquante]],0)</f>
        <v>651243.21794561297</v>
      </c>
      <c r="O39" s="71">
        <f>Tableau3[[#This Row],[Subventions pour charges de service public (SCSP) notifiées en CP en 2019 au titre des programmes 150 et 231 (en euros)]]+Tableau3[[#This Row],[masse salariale manquante]]+Tableau3[[#This Row],[masse salariale supplémentaire à la SCSP corrigée par la variable démographique]]</f>
        <v>50714599.217945613</v>
      </c>
      <c r="P39" s="71">
        <f t="shared" si="12"/>
        <v>51827569.01221244</v>
      </c>
      <c r="Q39" s="72"/>
      <c r="R39" s="72"/>
      <c r="S39" s="104">
        <f t="shared" si="13"/>
        <v>70246.589984350547</v>
      </c>
    </row>
    <row r="40" spans="1:19">
      <c r="A40" s="140" t="s">
        <v>200</v>
      </c>
      <c r="B40" s="141" t="s">
        <v>6</v>
      </c>
      <c r="C40" s="141" t="s">
        <v>16</v>
      </c>
      <c r="D40" s="141" t="s">
        <v>246</v>
      </c>
      <c r="E40" s="208">
        <v>58723296</v>
      </c>
      <c r="F40" s="223">
        <v>64225515</v>
      </c>
      <c r="G40" s="141">
        <v>816</v>
      </c>
      <c r="H40" s="175">
        <v>8912</v>
      </c>
      <c r="I40" s="36">
        <f t="shared" si="9"/>
        <v>7206.6331912028727</v>
      </c>
      <c r="J40" s="37">
        <f t="shared" si="10"/>
        <v>9.1561938958707358</v>
      </c>
      <c r="K40" s="38">
        <f t="shared" si="14"/>
        <v>768518.3952158913</v>
      </c>
      <c r="L40" s="39">
        <f t="shared" si="15"/>
        <v>-1.2706727131562729</v>
      </c>
      <c r="M40" s="58">
        <f t="shared" si="11"/>
        <v>0</v>
      </c>
      <c r="N40" s="58">
        <f>IF(Tableau3[[#This Row],[ECART DE SCSP CORIGÉE PAR LA VARIABLE DÉMOGRAPHIQUE / MOYENNE DE SON TYPE D''UNIVERSITÉ]]-Tableau3[[#This Row],[masse salariale manquante]]&gt;0,Tableau3[[#This Row],[ECART DE SCSP CORIGÉE PAR LA VARIABLE DÉMOGRAPHIQUE / MOYENNE DE SON TYPE D''UNIVERSITÉ]]-Tableau3[[#This Row],[masse salariale manquante]],0)</f>
        <v>768518.3952158913</v>
      </c>
      <c r="O40" s="71">
        <f>Tableau3[[#This Row],[Subventions pour charges de service public (SCSP) notifiées en CP en 2019 au titre des programmes 150 et 231 (en euros)]]+Tableau3[[#This Row],[masse salariale manquante]]+Tableau3[[#This Row],[masse salariale supplémentaire à la SCSP corrigée par la variable démographique]]</f>
        <v>64994033.395215891</v>
      </c>
      <c r="P40" s="71">
        <f t="shared" si="12"/>
        <v>66420376.047862709</v>
      </c>
      <c r="Q40" s="72"/>
      <c r="R40" s="72"/>
      <c r="S40" s="104">
        <f t="shared" si="13"/>
        <v>71964.823529411762</v>
      </c>
    </row>
    <row r="41" spans="1:19">
      <c r="A41" s="140" t="s">
        <v>200</v>
      </c>
      <c r="B41" s="141" t="s">
        <v>4</v>
      </c>
      <c r="C41" s="141" t="s">
        <v>10</v>
      </c>
      <c r="D41" s="141" t="s">
        <v>34</v>
      </c>
      <c r="E41" s="208">
        <v>78661393</v>
      </c>
      <c r="F41" s="223">
        <v>84945433</v>
      </c>
      <c r="G41" s="142">
        <v>1114</v>
      </c>
      <c r="H41" s="175">
        <v>11536</v>
      </c>
      <c r="I41" s="36">
        <f t="shared" si="9"/>
        <v>7363.5084084604714</v>
      </c>
      <c r="J41" s="37">
        <f t="shared" si="10"/>
        <v>9.6567267683772542</v>
      </c>
      <c r="K41" s="38">
        <f t="shared" si="14"/>
        <v>-814915.80439738929</v>
      </c>
      <c r="L41" s="41">
        <f t="shared" si="15"/>
        <v>-59.386274732828724</v>
      </c>
      <c r="M41" s="58">
        <f t="shared" si="11"/>
        <v>0</v>
      </c>
      <c r="N41" s="58">
        <f>IF(Tableau3[[#This Row],[ECART DE SCSP CORIGÉE PAR LA VARIABLE DÉMOGRAPHIQUE / MOYENNE DE SON TYPE D''UNIVERSITÉ]]-Tableau3[[#This Row],[masse salariale manquante]]&gt;0,Tableau3[[#This Row],[ECART DE SCSP CORIGÉE PAR LA VARIABLE DÉMOGRAPHIQUE / MOYENNE DE SON TYPE D''UNIVERSITÉ]]-Tableau3[[#This Row],[masse salariale manquante]],0)</f>
        <v>0</v>
      </c>
      <c r="O41" s="71">
        <f>Tableau3[[#This Row],[Subventions pour charges de service public (SCSP) notifiées en CP en 2019 au titre des programmes 150 et 231 (en euros)]]+Tableau3[[#This Row],[masse salariale manquante]]+Tableau3[[#This Row],[masse salariale supplémentaire à la SCSP corrigée par la variable démographique]]</f>
        <v>84945433</v>
      </c>
      <c r="P41" s="71">
        <f t="shared" si="12"/>
        <v>86809624.032716721</v>
      </c>
      <c r="Q41" s="72"/>
      <c r="R41" s="72"/>
      <c r="S41" s="104">
        <f t="shared" si="13"/>
        <v>70611.663375224423</v>
      </c>
    </row>
    <row r="42" spans="1:19">
      <c r="A42" s="140" t="s">
        <v>200</v>
      </c>
      <c r="B42" s="141" t="s">
        <v>6</v>
      </c>
      <c r="C42" s="141" t="s">
        <v>178</v>
      </c>
      <c r="D42" s="141" t="s">
        <v>34</v>
      </c>
      <c r="E42" s="208">
        <v>80002767</v>
      </c>
      <c r="F42" s="223">
        <v>87131889</v>
      </c>
      <c r="G42" s="142">
        <v>1178</v>
      </c>
      <c r="H42" s="175">
        <v>11768</v>
      </c>
      <c r="I42" s="36">
        <f t="shared" si="9"/>
        <v>7404.1374065261725</v>
      </c>
      <c r="J42" s="37">
        <f t="shared" si="10"/>
        <v>10.010197144799456</v>
      </c>
      <c r="K42" s="38">
        <f t="shared" si="14"/>
        <v>-1309426.5903387964</v>
      </c>
      <c r="L42" s="41">
        <f t="shared" si="15"/>
        <v>-102.17698344798282</v>
      </c>
      <c r="M42" s="58">
        <f t="shared" si="11"/>
        <v>0</v>
      </c>
      <c r="N42" s="58">
        <f>IF(Tableau3[[#This Row],[ECART DE SCSP CORIGÉE PAR LA VARIABLE DÉMOGRAPHIQUE / MOYENNE DE SON TYPE D''UNIVERSITÉ]]-Tableau3[[#This Row],[masse salariale manquante]]&gt;0,Tableau3[[#This Row],[ECART DE SCSP CORIGÉE PAR LA VARIABLE DÉMOGRAPHIQUE / MOYENNE DE SON TYPE D''UNIVERSITÉ]]-Tableau3[[#This Row],[masse salariale manquante]],0)</f>
        <v>0</v>
      </c>
      <c r="O42" s="71">
        <f>Tableau3[[#This Row],[Subventions pour charges de service public (SCSP) notifiées en CP en 2019 au titre des programmes 150 et 231 (en euros)]]+Tableau3[[#This Row],[masse salariale manquante]]+Tableau3[[#This Row],[masse salariale supplémentaire à la SCSP corrigée par la variable démographique]]</f>
        <v>87131889</v>
      </c>
      <c r="P42" s="71">
        <f t="shared" si="12"/>
        <v>89044063.444239616</v>
      </c>
      <c r="Q42" s="74"/>
      <c r="R42" s="74"/>
      <c r="S42" s="104">
        <f t="shared" si="13"/>
        <v>67914.063667232593</v>
      </c>
    </row>
    <row r="43" spans="1:19">
      <c r="A43" s="140" t="s">
        <v>200</v>
      </c>
      <c r="B43" s="141" t="s">
        <v>39</v>
      </c>
      <c r="C43" s="141" t="s">
        <v>58</v>
      </c>
      <c r="D43" s="141" t="s">
        <v>253</v>
      </c>
      <c r="E43" s="208">
        <v>64295043</v>
      </c>
      <c r="F43" s="223">
        <v>70782974</v>
      </c>
      <c r="G43" s="141">
        <v>851</v>
      </c>
      <c r="H43" s="175">
        <v>9531</v>
      </c>
      <c r="I43" s="36">
        <f t="shared" si="9"/>
        <v>7426.6051830867691</v>
      </c>
      <c r="J43" s="37">
        <f t="shared" si="10"/>
        <v>8.9287587871157275</v>
      </c>
      <c r="K43" s="38">
        <f t="shared" si="14"/>
        <v>-1274655.7448605597</v>
      </c>
      <c r="L43" s="39">
        <f t="shared" si="15"/>
        <v>20.317910499428649</v>
      </c>
      <c r="M43" s="58">
        <f t="shared" si="11"/>
        <v>1219074.6299657188</v>
      </c>
      <c r="N43" s="58">
        <f>IF(Tableau3[[#This Row],[ECART DE SCSP CORIGÉE PAR LA VARIABLE DÉMOGRAPHIQUE / MOYENNE DE SON TYPE D''UNIVERSITÉ]]-Tableau3[[#This Row],[masse salariale manquante]]&gt;0,Tableau3[[#This Row],[ECART DE SCSP CORIGÉE PAR LA VARIABLE DÉMOGRAPHIQUE / MOYENNE DE SON TYPE D''UNIVERSITÉ]]-Tableau3[[#This Row],[masse salariale manquante]],0)</f>
        <v>0</v>
      </c>
      <c r="O43" s="71">
        <f>Tableau3[[#This Row],[Subventions pour charges de service public (SCSP) notifiées en CP en 2019 au titre des programmes 150 et 231 (en euros)]]+Tableau3[[#This Row],[masse salariale manquante]]+Tableau3[[#This Row],[masse salariale supplémentaire à la SCSP corrigée par la variable démographique]]</f>
        <v>72002048.629965723</v>
      </c>
      <c r="P43" s="71">
        <f t="shared" si="12"/>
        <v>73582187.416158214</v>
      </c>
      <c r="Q43" s="74"/>
      <c r="R43" s="74"/>
      <c r="S43" s="104">
        <f t="shared" si="13"/>
        <v>75552.341950646296</v>
      </c>
    </row>
    <row r="44" spans="1:19">
      <c r="A44" s="140" t="s">
        <v>200</v>
      </c>
      <c r="B44" s="141" t="s">
        <v>18</v>
      </c>
      <c r="C44" s="141" t="s">
        <v>30</v>
      </c>
      <c r="D44" s="141" t="s">
        <v>49</v>
      </c>
      <c r="E44" s="208">
        <v>56011269</v>
      </c>
      <c r="F44" s="223">
        <v>60824128</v>
      </c>
      <c r="G44" s="141">
        <v>746</v>
      </c>
      <c r="H44" s="175">
        <v>8134</v>
      </c>
      <c r="I44" s="36">
        <f t="shared" si="9"/>
        <v>7477.7634620113104</v>
      </c>
      <c r="J44" s="37">
        <f t="shared" si="10"/>
        <v>9.171379395131547</v>
      </c>
      <c r="K44" s="38">
        <f t="shared" si="14"/>
        <v>-1503945.365721941</v>
      </c>
      <c r="L44" s="39">
        <f t="shared" si="15"/>
        <v>-2.394934004579568</v>
      </c>
      <c r="M44" s="58">
        <f t="shared" si="11"/>
        <v>0</v>
      </c>
      <c r="N44" s="58">
        <f>IF(Tableau3[[#This Row],[ECART DE SCSP CORIGÉE PAR LA VARIABLE DÉMOGRAPHIQUE / MOYENNE DE SON TYPE D''UNIVERSITÉ]]-Tableau3[[#This Row],[masse salariale manquante]]&gt;0,Tableau3[[#This Row],[ECART DE SCSP CORIGÉE PAR LA VARIABLE DÉMOGRAPHIQUE / MOYENNE DE SON TYPE D''UNIVERSITÉ]]-Tableau3[[#This Row],[masse salariale manquante]],0)</f>
        <v>0</v>
      </c>
      <c r="O44" s="71">
        <f>Tableau3[[#This Row],[Subventions pour charges de service public (SCSP) notifiées en CP en 2019 au titre des programmes 150 et 231 (en euros)]]+Tableau3[[#This Row],[masse salariale manquante]]+Tableau3[[#This Row],[masse salariale supplémentaire à la SCSP corrigée par la variable démographique]]</f>
        <v>60824128</v>
      </c>
      <c r="P44" s="71">
        <f t="shared" si="12"/>
        <v>62158958.961311527</v>
      </c>
      <c r="Q44" s="72"/>
      <c r="R44" s="72"/>
      <c r="S44" s="104">
        <f t="shared" si="13"/>
        <v>75082.130026809653</v>
      </c>
    </row>
    <row r="45" spans="1:19">
      <c r="A45" s="140" t="s">
        <v>200</v>
      </c>
      <c r="B45" s="141" t="s">
        <v>18</v>
      </c>
      <c r="C45" s="141" t="s">
        <v>42</v>
      </c>
      <c r="D45" s="141" t="s">
        <v>57</v>
      </c>
      <c r="E45" s="208">
        <v>67558900</v>
      </c>
      <c r="F45" s="223">
        <v>75066100</v>
      </c>
      <c r="G45" s="141">
        <v>940</v>
      </c>
      <c r="H45" s="175">
        <v>10029</v>
      </c>
      <c r="I45" s="36">
        <f t="shared" si="9"/>
        <v>7484.903779040782</v>
      </c>
      <c r="J45" s="37">
        <f t="shared" si="10"/>
        <v>9.3728188254063216</v>
      </c>
      <c r="K45" s="38">
        <f t="shared" si="14"/>
        <v>-1925933.8284761906</v>
      </c>
      <c r="L45" s="39">
        <f t="shared" si="15"/>
        <v>-23.155248725341494</v>
      </c>
      <c r="M45" s="58">
        <f t="shared" si="11"/>
        <v>0</v>
      </c>
      <c r="N45" s="58">
        <f>IF(Tableau3[[#This Row],[ECART DE SCSP CORIGÉE PAR LA VARIABLE DÉMOGRAPHIQUE / MOYENNE DE SON TYPE D''UNIVERSITÉ]]-Tableau3[[#This Row],[masse salariale manquante]]&gt;0,Tableau3[[#This Row],[ECART DE SCSP CORIGÉE PAR LA VARIABLE DÉMOGRAPHIQUE / MOYENNE DE SON TYPE D''UNIVERSITÉ]]-Tableau3[[#This Row],[masse salariale manquante]],0)</f>
        <v>0</v>
      </c>
      <c r="O45" s="71">
        <f>Tableau3[[#This Row],[Subventions pour charges de service public (SCSP) notifiées en CP en 2019 au titre des programmes 150 et 231 (en euros)]]+Tableau3[[#This Row],[masse salariale manquante]]+Tableau3[[#This Row],[masse salariale supplémentaire à la SCSP corrigée par la variable démographique]]</f>
        <v>75066100</v>
      </c>
      <c r="P45" s="71">
        <f t="shared" si="12"/>
        <v>76713481.684204444</v>
      </c>
      <c r="Q45" s="72"/>
      <c r="R45" s="72"/>
      <c r="S45" s="104">
        <f t="shared" si="13"/>
        <v>71871.170212765952</v>
      </c>
    </row>
    <row r="46" spans="1:19">
      <c r="A46" s="140" t="s">
        <v>200</v>
      </c>
      <c r="B46" s="141" t="s">
        <v>6</v>
      </c>
      <c r="C46" s="141" t="s">
        <v>47</v>
      </c>
      <c r="D46" s="141" t="s">
        <v>14</v>
      </c>
      <c r="E46" s="208">
        <v>84175752</v>
      </c>
      <c r="F46" s="223">
        <v>92076665</v>
      </c>
      <c r="G46" s="142">
        <v>1130</v>
      </c>
      <c r="H46" s="175">
        <v>12222</v>
      </c>
      <c r="I46" s="36">
        <f t="shared" si="9"/>
        <v>7533.6822942235312</v>
      </c>
      <c r="J46" s="37">
        <f t="shared" si="10"/>
        <v>9.2456226476845043</v>
      </c>
      <c r="K46" s="38">
        <f t="shared" si="14"/>
        <v>-2943240.8352414072</v>
      </c>
      <c r="L46" s="39">
        <f t="shared" si="15"/>
        <v>-12.672594468154784</v>
      </c>
      <c r="M46" s="58">
        <f t="shared" si="11"/>
        <v>0</v>
      </c>
      <c r="N46" s="58">
        <f>IF(Tableau3[[#This Row],[ECART DE SCSP CORIGÉE PAR LA VARIABLE DÉMOGRAPHIQUE / MOYENNE DE SON TYPE D''UNIVERSITÉ]]-Tableau3[[#This Row],[masse salariale manquante]]&gt;0,Tableau3[[#This Row],[ECART DE SCSP CORIGÉE PAR LA VARIABLE DÉMOGRAPHIQUE / MOYENNE DE SON TYPE D''UNIVERSITÉ]]-Tableau3[[#This Row],[masse salariale manquante]],0)</f>
        <v>0</v>
      </c>
      <c r="O46" s="71">
        <f>Tableau3[[#This Row],[Subventions pour charges de service public (SCSP) notifiées en CP en 2019 au titre des programmes 150 et 231 (en euros)]]+Tableau3[[#This Row],[masse salariale manquante]]+Tableau3[[#This Row],[masse salariale supplémentaire à la SCSP corrigée par la variable démographique]]</f>
        <v>92076665</v>
      </c>
      <c r="P46" s="71">
        <f t="shared" si="12"/>
        <v>94097356.250293136</v>
      </c>
      <c r="Q46" s="74"/>
      <c r="R46" s="74"/>
      <c r="S46" s="104">
        <f t="shared" si="13"/>
        <v>74491.815929203542</v>
      </c>
    </row>
    <row r="47" spans="1:19">
      <c r="A47" s="140" t="s">
        <v>200</v>
      </c>
      <c r="B47" s="141" t="s">
        <v>4</v>
      </c>
      <c r="C47" s="141" t="s">
        <v>46</v>
      </c>
      <c r="D47" s="141" t="s">
        <v>254</v>
      </c>
      <c r="E47" s="208">
        <v>127183417</v>
      </c>
      <c r="F47" s="223">
        <v>140066817</v>
      </c>
      <c r="G47" s="142">
        <v>1803</v>
      </c>
      <c r="H47" s="175">
        <v>18536</v>
      </c>
      <c r="I47" s="36">
        <f t="shared" si="9"/>
        <v>7556.4748057833403</v>
      </c>
      <c r="J47" s="37">
        <f t="shared" si="10"/>
        <v>9.7270176952956415</v>
      </c>
      <c r="K47" s="40">
        <f t="shared" si="14"/>
        <v>-4886228.6905608475</v>
      </c>
      <c r="L47" s="41">
        <f t="shared" si="15"/>
        <v>-108.45076182799176</v>
      </c>
      <c r="M47" s="58">
        <f t="shared" si="11"/>
        <v>0</v>
      </c>
      <c r="N47" s="58">
        <f>IF(Tableau3[[#This Row],[ECART DE SCSP CORIGÉE PAR LA VARIABLE DÉMOGRAPHIQUE / MOYENNE DE SON TYPE D''UNIVERSITÉ]]-Tableau3[[#This Row],[masse salariale manquante]]&gt;0,Tableau3[[#This Row],[ECART DE SCSP CORIGÉE PAR LA VARIABLE DÉMOGRAPHIQUE / MOYENNE DE SON TYPE D''UNIVERSITÉ]]-Tableau3[[#This Row],[masse salariale manquante]],0)</f>
        <v>0</v>
      </c>
      <c r="O47" s="71">
        <f>Tableau3[[#This Row],[Subventions pour charges de service public (SCSP) notifiées en CP en 2019 au titre des programmes 150 et 231 (en euros)]]+Tableau3[[#This Row],[masse salariale manquante]]+Tableau3[[#This Row],[masse salariale supplémentaire à la SCSP corrigée par la variable démographique]]</f>
        <v>140066817</v>
      </c>
      <c r="P47" s="71">
        <f t="shared" si="12"/>
        <v>143140688.01355493</v>
      </c>
      <c r="Q47" s="74"/>
      <c r="R47" s="74"/>
      <c r="S47" s="104">
        <f t="shared" si="13"/>
        <v>70539.887409872434</v>
      </c>
    </row>
    <row r="48" spans="1:19">
      <c r="A48" s="140" t="s">
        <v>200</v>
      </c>
      <c r="B48" s="141" t="s">
        <v>4</v>
      </c>
      <c r="C48" s="141" t="s">
        <v>32</v>
      </c>
      <c r="D48" s="141" t="s">
        <v>43</v>
      </c>
      <c r="E48" s="208">
        <v>66006318</v>
      </c>
      <c r="F48" s="223">
        <v>73773461</v>
      </c>
      <c r="G48" s="141">
        <v>929</v>
      </c>
      <c r="H48" s="175">
        <v>9709</v>
      </c>
      <c r="I48" s="36">
        <f t="shared" si="9"/>
        <v>7598.461324544237</v>
      </c>
      <c r="J48" s="37">
        <f t="shared" si="10"/>
        <v>9.5684416520753928</v>
      </c>
      <c r="K48" s="38">
        <f t="shared" si="14"/>
        <v>-2967012.3651087135</v>
      </c>
      <c r="L48" s="39">
        <f t="shared" si="15"/>
        <v>-41.409443600991267</v>
      </c>
      <c r="M48" s="58">
        <f t="shared" si="11"/>
        <v>0</v>
      </c>
      <c r="N48" s="58">
        <f>IF(Tableau3[[#This Row],[ECART DE SCSP CORIGÉE PAR LA VARIABLE DÉMOGRAPHIQUE / MOYENNE DE SON TYPE D''UNIVERSITÉ]]-Tableau3[[#This Row],[masse salariale manquante]]&gt;0,Tableau3[[#This Row],[ECART DE SCSP CORIGÉE PAR LA VARIABLE DÉMOGRAPHIQUE / MOYENNE DE SON TYPE D''UNIVERSITÉ]]-Tableau3[[#This Row],[masse salariale manquante]],0)</f>
        <v>0</v>
      </c>
      <c r="O48" s="71">
        <f>Tableau3[[#This Row],[Subventions pour charges de service public (SCSP) notifiées en CP en 2019 au titre des programmes 150 et 231 (en euros)]]+Tableau3[[#This Row],[masse salariale manquante]]+Tableau3[[#This Row],[masse salariale supplémentaire à la SCSP corrigée par la variable démographique]]</f>
        <v>73773461</v>
      </c>
      <c r="P48" s="71">
        <f t="shared" si="12"/>
        <v>75392474.75496757</v>
      </c>
      <c r="Q48" s="72"/>
      <c r="R48" s="72"/>
      <c r="S48" s="104">
        <f t="shared" si="13"/>
        <v>71050.934337997853</v>
      </c>
    </row>
    <row r="49" spans="1:19">
      <c r="A49" s="140" t="s">
        <v>200</v>
      </c>
      <c r="B49" s="141" t="s">
        <v>4</v>
      </c>
      <c r="C49" s="141" t="s">
        <v>24</v>
      </c>
      <c r="D49" s="141" t="s">
        <v>303</v>
      </c>
      <c r="E49" s="208">
        <v>65103795</v>
      </c>
      <c r="F49" s="223">
        <v>71441726</v>
      </c>
      <c r="G49" s="141">
        <v>945</v>
      </c>
      <c r="H49" s="175">
        <v>9238</v>
      </c>
      <c r="I49" s="36">
        <f t="shared" si="9"/>
        <v>7733.4624377570899</v>
      </c>
      <c r="J49" s="37">
        <f t="shared" si="10"/>
        <v>10.229486901926824</v>
      </c>
      <c r="K49" s="40">
        <f t="shared" si="14"/>
        <v>-4070217.8643397242</v>
      </c>
      <c r="L49" s="41">
        <f t="shared" si="15"/>
        <v>-100.4679616835881</v>
      </c>
      <c r="M49" s="58">
        <f t="shared" si="11"/>
        <v>0</v>
      </c>
      <c r="N49" s="58">
        <f>IF(Tableau3[[#This Row],[ECART DE SCSP CORIGÉE PAR LA VARIABLE DÉMOGRAPHIQUE / MOYENNE DE SON TYPE D''UNIVERSITÉ]]-Tableau3[[#This Row],[masse salariale manquante]]&gt;0,Tableau3[[#This Row],[ECART DE SCSP CORIGÉE PAR LA VARIABLE DÉMOGRAPHIQUE / MOYENNE DE SON TYPE D''UNIVERSITÉ]]-Tableau3[[#This Row],[masse salariale manquante]],0)</f>
        <v>0</v>
      </c>
      <c r="O49" s="71">
        <f>Tableau3[[#This Row],[Subventions pour charges de service public (SCSP) notifiées en CP en 2019 au titre des programmes 150 et 231 (en euros)]]+Tableau3[[#This Row],[masse salariale manquante]]+Tableau3[[#This Row],[masse salariale supplémentaire à la SCSP corrigée par la variable démographique]]</f>
        <v>71441726</v>
      </c>
      <c r="P49" s="71">
        <f t="shared" si="12"/>
        <v>73009568.087178543</v>
      </c>
      <c r="Q49" s="72"/>
      <c r="R49" s="72"/>
      <c r="S49" s="104">
        <f t="shared" si="13"/>
        <v>68892.904761904763</v>
      </c>
    </row>
    <row r="50" spans="1:19">
      <c r="A50" s="140" t="s">
        <v>200</v>
      </c>
      <c r="B50" s="141" t="s">
        <v>6</v>
      </c>
      <c r="C50" s="141" t="s">
        <v>36</v>
      </c>
      <c r="D50" s="141" t="s">
        <v>34</v>
      </c>
      <c r="E50" s="208">
        <v>65739578</v>
      </c>
      <c r="F50" s="223">
        <v>71806206</v>
      </c>
      <c r="G50" s="141">
        <v>936</v>
      </c>
      <c r="H50" s="175">
        <v>9096</v>
      </c>
      <c r="I50" s="36">
        <f t="shared" si="9"/>
        <v>7894.2618733509235</v>
      </c>
      <c r="J50" s="37">
        <f t="shared" si="10"/>
        <v>10.29023746701847</v>
      </c>
      <c r="K50" s="40">
        <f t="shared" si="14"/>
        <v>-5470285.0212204084</v>
      </c>
      <c r="L50" s="41">
        <f t="shared" si="15"/>
        <v>-104.44951065965768</v>
      </c>
      <c r="M50" s="58">
        <f t="shared" si="11"/>
        <v>0</v>
      </c>
      <c r="N50" s="58">
        <f>IF(Tableau3[[#This Row],[ECART DE SCSP CORIGÉE PAR LA VARIABLE DÉMOGRAPHIQUE / MOYENNE DE SON TYPE D''UNIVERSITÉ]]-Tableau3[[#This Row],[masse salariale manquante]]&gt;0,Tableau3[[#This Row],[ECART DE SCSP CORIGÉE PAR LA VARIABLE DÉMOGRAPHIQUE / MOYENNE DE SON TYPE D''UNIVERSITÉ]]-Tableau3[[#This Row],[masse salariale manquante]],0)</f>
        <v>0</v>
      </c>
      <c r="O50" s="71">
        <f>Tableau3[[#This Row],[Subventions pour charges de service public (SCSP) notifiées en CP en 2019 au titre des programmes 150 et 231 (en euros)]]+Tableau3[[#This Row],[masse salariale manquante]]+Tableau3[[#This Row],[masse salariale supplémentaire à la SCSP corrigée par la variable démographique]]</f>
        <v>71806206</v>
      </c>
      <c r="P50" s="71">
        <f t="shared" si="12"/>
        <v>73382046.873265192</v>
      </c>
      <c r="Q50" s="72"/>
      <c r="R50" s="72"/>
      <c r="S50" s="104">
        <f t="shared" si="13"/>
        <v>70234.591880341875</v>
      </c>
    </row>
    <row r="51" spans="1:19">
      <c r="A51" s="140" t="s">
        <v>200</v>
      </c>
      <c r="B51" s="141" t="s">
        <v>4</v>
      </c>
      <c r="C51" s="141" t="s">
        <v>31</v>
      </c>
      <c r="D51" s="141" t="s">
        <v>54</v>
      </c>
      <c r="E51" s="208">
        <v>55851585</v>
      </c>
      <c r="F51" s="223">
        <v>62777627</v>
      </c>
      <c r="G51" s="141">
        <v>764</v>
      </c>
      <c r="H51" s="175">
        <v>7620</v>
      </c>
      <c r="I51" s="36">
        <f t="shared" si="9"/>
        <v>8238.5337270341206</v>
      </c>
      <c r="J51" s="37">
        <f t="shared" si="10"/>
        <v>10.026246719160104</v>
      </c>
      <c r="K51" s="40">
        <f t="shared" si="14"/>
        <v>-7205978.1589379385</v>
      </c>
      <c r="L51" s="41">
        <f t="shared" si="15"/>
        <v>-67.384484523591823</v>
      </c>
      <c r="M51" s="58">
        <f t="shared" si="11"/>
        <v>0</v>
      </c>
      <c r="N51" s="58">
        <f>IF(Tableau3[[#This Row],[ECART DE SCSP CORIGÉE PAR LA VARIABLE DÉMOGRAPHIQUE / MOYENNE DE SON TYPE D''UNIVERSITÉ]]-Tableau3[[#This Row],[masse salariale manquante]]&gt;0,Tableau3[[#This Row],[ECART DE SCSP CORIGÉE PAR LA VARIABLE DÉMOGRAPHIQUE / MOYENNE DE SON TYPE D''UNIVERSITÉ]]-Tableau3[[#This Row],[masse salariale manquante]],0)</f>
        <v>0</v>
      </c>
      <c r="O51" s="71">
        <f>Tableau3[[#This Row],[Subventions pour charges de service public (SCSP) notifiées en CP en 2019 au titre des programmes 150 et 231 (en euros)]]+Tableau3[[#This Row],[masse salariale manquante]]+Tableau3[[#This Row],[masse salariale supplémentaire à la SCSP corrigée par la variable démographique]]</f>
        <v>62777627</v>
      </c>
      <c r="P51" s="71">
        <f t="shared" si="12"/>
        <v>64155328.957309872</v>
      </c>
      <c r="Q51" s="72"/>
      <c r="R51" s="72"/>
      <c r="S51" s="104">
        <f t="shared" si="13"/>
        <v>73104.168848167537</v>
      </c>
    </row>
    <row r="52" spans="1:19">
      <c r="A52" s="140" t="s">
        <v>200</v>
      </c>
      <c r="B52" s="141" t="s">
        <v>4</v>
      </c>
      <c r="C52" s="141" t="s">
        <v>45</v>
      </c>
      <c r="D52" s="141" t="s">
        <v>305</v>
      </c>
      <c r="E52" s="208">
        <v>24582400</v>
      </c>
      <c r="F52" s="223">
        <v>27276976</v>
      </c>
      <c r="G52" s="141">
        <v>241</v>
      </c>
      <c r="H52" s="175">
        <v>3009</v>
      </c>
      <c r="I52" s="36">
        <f t="shared" si="9"/>
        <v>9065.129943502825</v>
      </c>
      <c r="J52" s="37">
        <f t="shared" si="10"/>
        <v>8.0093054170820874</v>
      </c>
      <c r="K52" s="40">
        <f t="shared" si="14"/>
        <v>-5332738.288352266</v>
      </c>
      <c r="L52" s="39">
        <f t="shared" si="15"/>
        <v>34.080851190093426</v>
      </c>
      <c r="M52" s="58">
        <f t="shared" si="11"/>
        <v>2044851.0714056056</v>
      </c>
      <c r="N52" s="58">
        <f>IF(Tableau3[[#This Row],[ECART DE SCSP CORIGÉE PAR LA VARIABLE DÉMOGRAPHIQUE / MOYENNE DE SON TYPE D''UNIVERSITÉ]]-Tableau3[[#This Row],[masse salariale manquante]]&gt;0,Tableau3[[#This Row],[ECART DE SCSP CORIGÉE PAR LA VARIABLE DÉMOGRAPHIQUE / MOYENNE DE SON TYPE D''UNIVERSITÉ]]-Tableau3[[#This Row],[masse salariale manquante]],0)</f>
        <v>0</v>
      </c>
      <c r="O52" s="71">
        <f>Tableau3[[#This Row],[Subventions pour charges de service public (SCSP) notifiées en CP en 2019 au titre des programmes 150 et 231 (en euros)]]+Tableau3[[#This Row],[masse salariale manquante]]+Tableau3[[#This Row],[masse salariale supplémentaire à la SCSP corrigée par la variable démographique]]</f>
        <v>29321827.071405604</v>
      </c>
      <c r="P52" s="71">
        <f t="shared" si="12"/>
        <v>29965316.48759805</v>
      </c>
      <c r="Q52" s="72"/>
      <c r="R52" s="72"/>
      <c r="S52" s="104">
        <f t="shared" si="13"/>
        <v>102001.65975103734</v>
      </c>
    </row>
    <row r="53" spans="1:19">
      <c r="A53" s="140" t="s">
        <v>200</v>
      </c>
      <c r="B53" s="141" t="s">
        <v>18</v>
      </c>
      <c r="C53" s="141" t="s">
        <v>22</v>
      </c>
      <c r="D53" s="141" t="s">
        <v>250</v>
      </c>
      <c r="E53" s="208">
        <v>39025405</v>
      </c>
      <c r="F53" s="223">
        <v>39798391</v>
      </c>
      <c r="G53" s="141">
        <v>593</v>
      </c>
      <c r="H53" s="175">
        <v>4181</v>
      </c>
      <c r="I53" s="36">
        <f t="shared" si="9"/>
        <v>9518.8689308777812</v>
      </c>
      <c r="J53" s="37">
        <f t="shared" si="10"/>
        <v>14.183209758430998</v>
      </c>
      <c r="K53" s="40">
        <f t="shared" si="14"/>
        <v>-9306912.8104356341</v>
      </c>
      <c r="L53" s="41">
        <f t="shared" si="15"/>
        <v>-210.77566007783958</v>
      </c>
      <c r="M53" s="58">
        <f t="shared" si="11"/>
        <v>0</v>
      </c>
      <c r="N53" s="58">
        <f>IF(Tableau3[[#This Row],[ECART DE SCSP CORIGÉE PAR LA VARIABLE DÉMOGRAPHIQUE / MOYENNE DE SON TYPE D''UNIVERSITÉ]]-Tableau3[[#This Row],[masse salariale manquante]]&gt;0,Tableau3[[#This Row],[ECART DE SCSP CORIGÉE PAR LA VARIABLE DÉMOGRAPHIQUE / MOYENNE DE SON TYPE D''UNIVERSITÉ]]-Tableau3[[#This Row],[masse salariale manquante]],0)</f>
        <v>0</v>
      </c>
      <c r="O53" s="71">
        <f>Tableau3[[#This Row],[Subventions pour charges de service public (SCSP) notifiées en CP en 2019 au titre des programmes 150 et 231 (en euros)]]+Tableau3[[#This Row],[masse salariale manquante]]+Tableau3[[#This Row],[masse salariale supplémentaire à la SCSP corrigée par la variable démographique]]</f>
        <v>39798391</v>
      </c>
      <c r="P53" s="71">
        <f t="shared" si="12"/>
        <v>40671796.443924852</v>
      </c>
      <c r="Q53" s="72"/>
      <c r="R53" s="72"/>
      <c r="S53" s="104">
        <f t="shared" si="13"/>
        <v>65810.126475548066</v>
      </c>
    </row>
    <row r="54" spans="1:19">
      <c r="A54" s="140" t="s">
        <v>200</v>
      </c>
      <c r="B54" s="141" t="s">
        <v>8</v>
      </c>
      <c r="C54" s="141" t="s">
        <v>50</v>
      </c>
      <c r="D54" s="141" t="s">
        <v>256</v>
      </c>
      <c r="E54" s="208">
        <v>24752258</v>
      </c>
      <c r="F54" s="223">
        <v>27021393</v>
      </c>
      <c r="G54" s="141">
        <v>220</v>
      </c>
      <c r="H54" s="175">
        <v>2821</v>
      </c>
      <c r="I54" s="36">
        <f t="shared" si="9"/>
        <v>9578.6575682382136</v>
      </c>
      <c r="J54" s="37">
        <f t="shared" si="10"/>
        <v>7.7986529599432819</v>
      </c>
      <c r="K54" s="40">
        <f t="shared" si="14"/>
        <v>-6448214.3411238752</v>
      </c>
      <c r="L54" s="39">
        <f t="shared" si="15"/>
        <v>37.894011700649287</v>
      </c>
      <c r="M54" s="58">
        <f t="shared" si="11"/>
        <v>2273640.7020389573</v>
      </c>
      <c r="N54" s="58">
        <f>IF(Tableau3[[#This Row],[ECART DE SCSP CORIGÉE PAR LA VARIABLE DÉMOGRAPHIQUE / MOYENNE DE SON TYPE D''UNIVERSITÉ]]-Tableau3[[#This Row],[masse salariale manquante]]&gt;0,Tableau3[[#This Row],[ECART DE SCSP CORIGÉE PAR LA VARIABLE DÉMOGRAPHIQUE / MOYENNE DE SON TYPE D''UNIVERSITÉ]]-Tableau3[[#This Row],[masse salariale manquante]],0)</f>
        <v>0</v>
      </c>
      <c r="O54" s="71">
        <f>Tableau3[[#This Row],[Subventions pour charges de service public (SCSP) notifiées en CP en 2019 au titre des programmes 150 et 231 (en euros)]]+Tableau3[[#This Row],[masse salariale manquante]]+Tableau3[[#This Row],[masse salariale supplémentaire à la SCSP corrigée par la variable démographique]]</f>
        <v>29295033.702038959</v>
      </c>
      <c r="P54" s="71">
        <f t="shared" si="12"/>
        <v>29937935.11770983</v>
      </c>
      <c r="Q54" s="74"/>
      <c r="R54" s="74"/>
      <c r="S54" s="104">
        <f t="shared" si="13"/>
        <v>112510.26363636364</v>
      </c>
    </row>
    <row r="55" spans="1:19">
      <c r="A55" s="146" t="s">
        <v>198</v>
      </c>
      <c r="B55" s="147" t="s">
        <v>18</v>
      </c>
      <c r="C55" s="147" t="s">
        <v>161</v>
      </c>
      <c r="D55" s="147" t="s">
        <v>243</v>
      </c>
      <c r="E55" s="209">
        <v>279110483</v>
      </c>
      <c r="F55" s="224">
        <v>303162796</v>
      </c>
      <c r="G55" s="148">
        <v>4111</v>
      </c>
      <c r="H55" s="174">
        <v>41212</v>
      </c>
      <c r="I55" s="45">
        <f t="shared" si="9"/>
        <v>7356.177715228574</v>
      </c>
      <c r="J55" s="46">
        <f t="shared" si="10"/>
        <v>9.9752499272056685</v>
      </c>
      <c r="K55" s="49">
        <f>$I$77*H55-F55</f>
        <v>35151692.059043944</v>
      </c>
      <c r="L55" s="50">
        <f>$J$77*H55/100-G55</f>
        <v>508.65516265390124</v>
      </c>
      <c r="M55" s="58">
        <f t="shared" si="11"/>
        <v>30519309.759234075</v>
      </c>
      <c r="N55" s="58">
        <f>IF(Tableau3[[#This Row],[ECART DE SCSP CORIGÉE PAR LA VARIABLE DÉMOGRAPHIQUE / MOYENNE DE SON TYPE D''UNIVERSITÉ]]-Tableau3[[#This Row],[masse salariale manquante]]&gt;0,Tableau3[[#This Row],[ECART DE SCSP CORIGÉE PAR LA VARIABLE DÉMOGRAPHIQUE / MOYENNE DE SON TYPE D''UNIVERSITÉ]]-Tableau3[[#This Row],[masse salariale manquante]],0)</f>
        <v>4632382.2998098694</v>
      </c>
      <c r="O55" s="71">
        <f>Tableau3[[#This Row],[Subventions pour charges de service public (SCSP) notifiées en CP en 2019 au titre des programmes 150 et 231 (en euros)]]+Tableau3[[#This Row],[masse salariale manquante]]+Tableau3[[#This Row],[masse salariale supplémentaire à la SCSP corrigée par la variable démographique]]</f>
        <v>338314488.05904394</v>
      </c>
      <c r="P55" s="71">
        <f t="shared" si="12"/>
        <v>345739052.42470932</v>
      </c>
      <c r="Q55" s="72"/>
      <c r="R55" s="72"/>
      <c r="S55" s="104">
        <f t="shared" si="13"/>
        <v>67893.574069569455</v>
      </c>
    </row>
    <row r="56" spans="1:19">
      <c r="A56" s="146" t="s">
        <v>198</v>
      </c>
      <c r="B56" s="135" t="s">
        <v>18</v>
      </c>
      <c r="C56" s="135" t="s">
        <v>165</v>
      </c>
      <c r="D56" s="135" t="s">
        <v>255</v>
      </c>
      <c r="E56" s="207">
        <v>221745273</v>
      </c>
      <c r="F56" s="222">
        <v>238600586</v>
      </c>
      <c r="G56" s="136">
        <v>3242</v>
      </c>
      <c r="H56" s="173">
        <v>31537</v>
      </c>
      <c r="I56" s="27">
        <f t="shared" si="9"/>
        <v>7565.7350413799668</v>
      </c>
      <c r="J56" s="28">
        <f t="shared" si="10"/>
        <v>10.279988584836858</v>
      </c>
      <c r="K56" s="33">
        <f>$I$75*H56-F56</f>
        <v>-8297388.0172784626</v>
      </c>
      <c r="L56" s="32">
        <f>$J$75*H56/100-G56</f>
        <v>-247.86985720805933</v>
      </c>
      <c r="M56" s="58">
        <f t="shared" si="11"/>
        <v>0</v>
      </c>
      <c r="N56" s="58">
        <f>IF(Tableau3[[#This Row],[ECART DE SCSP CORIGÉE PAR LA VARIABLE DÉMOGRAPHIQUE / MOYENNE DE SON TYPE D''UNIVERSITÉ]]-Tableau3[[#This Row],[masse salariale manquante]]&gt;0,Tableau3[[#This Row],[ECART DE SCSP CORIGÉE PAR LA VARIABLE DÉMOGRAPHIQUE / MOYENNE DE SON TYPE D''UNIVERSITÉ]]-Tableau3[[#This Row],[masse salariale manquante]],0)</f>
        <v>0</v>
      </c>
      <c r="O56" s="71">
        <f>Tableau3[[#This Row],[Subventions pour charges de service public (SCSP) notifiées en CP en 2019 au titre des programmes 150 et 231 (en euros)]]+Tableau3[[#This Row],[masse salariale manquante]]+Tableau3[[#This Row],[masse salariale supplémentaire à la SCSP corrigée par la variable démographique]]</f>
        <v>238600586</v>
      </c>
      <c r="P56" s="71">
        <f t="shared" si="12"/>
        <v>243836854.23848382</v>
      </c>
      <c r="Q56" s="74"/>
      <c r="R56" s="74"/>
      <c r="S56" s="104">
        <f t="shared" si="13"/>
        <v>68397.678285009257</v>
      </c>
    </row>
    <row r="57" spans="1:19">
      <c r="A57" s="146" t="s">
        <v>198</v>
      </c>
      <c r="B57" s="147" t="s">
        <v>6</v>
      </c>
      <c r="C57" s="147" t="s">
        <v>52</v>
      </c>
      <c r="D57" s="147" t="s">
        <v>246</v>
      </c>
      <c r="E57" s="209">
        <v>190718840</v>
      </c>
      <c r="F57" s="224">
        <v>213239544</v>
      </c>
      <c r="G57" s="147">
        <v>2985</v>
      </c>
      <c r="H57" s="174">
        <v>25910</v>
      </c>
      <c r="I57" s="45">
        <f t="shared" si="9"/>
        <v>8230.0094172134304</v>
      </c>
      <c r="J57" s="46">
        <f t="shared" si="10"/>
        <v>11.520648398301814</v>
      </c>
      <c r="K57" s="47">
        <f>$I$77*H57-F57</f>
        <v>-541097.29491826892</v>
      </c>
      <c r="L57" s="48">
        <f>$J$77*H57/100-G57</f>
        <v>-80.621050558997467</v>
      </c>
      <c r="M57" s="58">
        <f t="shared" si="11"/>
        <v>0</v>
      </c>
      <c r="N57" s="58">
        <f>IF(Tableau3[[#This Row],[ECART DE SCSP CORIGÉE PAR LA VARIABLE DÉMOGRAPHIQUE / MOYENNE DE SON TYPE D''UNIVERSITÉ]]-Tableau3[[#This Row],[masse salariale manquante]]&gt;0,Tableau3[[#This Row],[ECART DE SCSP CORIGÉE PAR LA VARIABLE DÉMOGRAPHIQUE / MOYENNE DE SON TYPE D''UNIVERSITÉ]]-Tableau3[[#This Row],[masse salariale manquante]],0)</f>
        <v>0</v>
      </c>
      <c r="O57" s="71">
        <f>Tableau3[[#This Row],[Subventions pour charges de service public (SCSP) notifiées en CP en 2019 au titre des programmes 150 et 231 (en euros)]]+Tableau3[[#This Row],[masse salariale manquante]]+Tableau3[[#This Row],[masse salariale supplémentaire à la SCSP corrigée par la variable démographique]]</f>
        <v>213239544</v>
      </c>
      <c r="P57" s="71">
        <f t="shared" si="12"/>
        <v>217919245.21178147</v>
      </c>
      <c r="Q57" s="72"/>
      <c r="R57" s="72"/>
      <c r="S57" s="104">
        <f t="shared" si="13"/>
        <v>63892.408710217758</v>
      </c>
    </row>
    <row r="58" spans="1:19">
      <c r="A58" s="146" t="s">
        <v>198</v>
      </c>
      <c r="B58" s="147" t="s">
        <v>6</v>
      </c>
      <c r="C58" s="147" t="s">
        <v>170</v>
      </c>
      <c r="D58" s="147" t="s">
        <v>303</v>
      </c>
      <c r="E58" s="209">
        <v>253535037</v>
      </c>
      <c r="F58" s="224">
        <v>284743443</v>
      </c>
      <c r="G58" s="148">
        <v>3959</v>
      </c>
      <c r="H58" s="44">
        <f>21624+12230</f>
        <v>33854</v>
      </c>
      <c r="I58" s="45">
        <f t="shared" si="9"/>
        <v>8410.9246470136477</v>
      </c>
      <c r="J58" s="46">
        <f t="shared" si="10"/>
        <v>11.694334495185208</v>
      </c>
      <c r="K58" s="49">
        <f>$I$77*H58-F58</f>
        <v>-6831701.7898943424</v>
      </c>
      <c r="L58" s="50">
        <f>$J$77*H58/100-G58</f>
        <v>-164.1391372298076</v>
      </c>
      <c r="M58" s="58">
        <f t="shared" si="11"/>
        <v>0</v>
      </c>
      <c r="N58" s="58">
        <f>IF(Tableau3[[#This Row],[ECART DE SCSP CORIGÉE PAR LA VARIABLE DÉMOGRAPHIQUE / MOYENNE DE SON TYPE D''UNIVERSITÉ]]-Tableau3[[#This Row],[masse salariale manquante]]&gt;0,Tableau3[[#This Row],[ECART DE SCSP CORIGÉE PAR LA VARIABLE DÉMOGRAPHIQUE / MOYENNE DE SON TYPE D''UNIVERSITÉ]]-Tableau3[[#This Row],[masse salariale manquante]],0)</f>
        <v>0</v>
      </c>
      <c r="O58" s="71">
        <f>Tableau3[[#This Row],[Subventions pour charges de service public (SCSP) notifiées en CP en 2019 au titre des programmes 150 et 231 (en euros)]]+Tableau3[[#This Row],[masse salariale manquante]]+Tableau3[[#This Row],[masse salariale supplémentaire à la SCSP corrigée par la variable démographique]]</f>
        <v>284743443</v>
      </c>
      <c r="P58" s="71">
        <f t="shared" si="12"/>
        <v>290992350.73192579</v>
      </c>
      <c r="Q58" s="72"/>
      <c r="R58" s="72"/>
      <c r="S58" s="104">
        <f t="shared" si="13"/>
        <v>64040.171002778479</v>
      </c>
    </row>
    <row r="59" spans="1:19">
      <c r="A59" s="146" t="s">
        <v>198</v>
      </c>
      <c r="B59" s="147" t="s">
        <v>6</v>
      </c>
      <c r="C59" s="147" t="s">
        <v>177</v>
      </c>
      <c r="D59" s="147" t="s">
        <v>257</v>
      </c>
      <c r="E59" s="209">
        <v>266185038</v>
      </c>
      <c r="F59" s="224">
        <v>294425366</v>
      </c>
      <c r="G59" s="148">
        <v>3921</v>
      </c>
      <c r="H59" s="174">
        <v>30010</v>
      </c>
      <c r="I59" s="45">
        <f t="shared" si="9"/>
        <v>9810.9085638120632</v>
      </c>
      <c r="J59" s="46">
        <f t="shared" si="10"/>
        <v>13.065644785071642</v>
      </c>
      <c r="K59" s="49">
        <f>$I$77*H59-F59</f>
        <v>-48069503.953705013</v>
      </c>
      <c r="L59" s="50">
        <f>$J$77*H59/100-G59</f>
        <v>-557.03194624760818</v>
      </c>
      <c r="M59" s="58">
        <f t="shared" si="11"/>
        <v>0</v>
      </c>
      <c r="N59" s="58">
        <f>IF(Tableau3[[#This Row],[ECART DE SCSP CORIGÉE PAR LA VARIABLE DÉMOGRAPHIQUE / MOYENNE DE SON TYPE D''UNIVERSITÉ]]-Tableau3[[#This Row],[masse salariale manquante]]&gt;0,Tableau3[[#This Row],[ECART DE SCSP CORIGÉE PAR LA VARIABLE DÉMOGRAPHIQUE / MOYENNE DE SON TYPE D''UNIVERSITÉ]]-Tableau3[[#This Row],[masse salariale manquante]],0)</f>
        <v>0</v>
      </c>
      <c r="O59" s="71">
        <f>Tableau3[[#This Row],[Subventions pour charges de service public (SCSP) notifiées en CP en 2019 au titre des programmes 150 et 231 (en euros)]]+Tableau3[[#This Row],[masse salariale manquante]]+Tableau3[[#This Row],[masse salariale supplémentaire à la SCSP corrigée par la variable démographique]]</f>
        <v>294425366</v>
      </c>
      <c r="P59" s="71">
        <f t="shared" si="12"/>
        <v>300886750.77040356</v>
      </c>
      <c r="Q59" s="72"/>
      <c r="R59" s="72"/>
      <c r="S59" s="104">
        <f t="shared" si="13"/>
        <v>67887.028309104819</v>
      </c>
    </row>
    <row r="60" spans="1:19">
      <c r="A60" s="18" t="s">
        <v>211</v>
      </c>
      <c r="B60" s="150" t="s">
        <v>39</v>
      </c>
      <c r="C60" s="150" t="s">
        <v>162</v>
      </c>
      <c r="D60" s="150" t="s">
        <v>243</v>
      </c>
      <c r="E60" s="210">
        <v>108853861</v>
      </c>
      <c r="F60" s="225">
        <v>118896910</v>
      </c>
      <c r="G60" s="151">
        <v>1559</v>
      </c>
      <c r="H60" s="176">
        <v>27502</v>
      </c>
      <c r="I60" s="20">
        <f t="shared" si="9"/>
        <v>4323.2095847574719</v>
      </c>
      <c r="J60" s="21">
        <f t="shared" si="10"/>
        <v>5.6686786415533419</v>
      </c>
      <c r="K60" s="22">
        <f t="shared" ref="K60:K72" si="16">$I$74*H60-F60</f>
        <v>13427154.858180761</v>
      </c>
      <c r="L60" s="23">
        <f t="shared" ref="L60:L72" si="17">$J$74*H60/100-G60</f>
        <v>135.74488967954608</v>
      </c>
      <c r="M60" s="58">
        <f t="shared" si="11"/>
        <v>8144693.3807727648</v>
      </c>
      <c r="N60" s="58">
        <f>IF(Tableau3[[#This Row],[ECART DE SCSP CORIGÉE PAR LA VARIABLE DÉMOGRAPHIQUE / MOYENNE DE SON TYPE D''UNIVERSITÉ]]-Tableau3[[#This Row],[masse salariale manquante]]&gt;0,Tableau3[[#This Row],[ECART DE SCSP CORIGÉE PAR LA VARIABLE DÉMOGRAPHIQUE / MOYENNE DE SON TYPE D''UNIVERSITÉ]]-Tableau3[[#This Row],[masse salariale manquante]],0)</f>
        <v>5282461.4774079965</v>
      </c>
      <c r="O60" s="71">
        <f>Tableau3[[#This Row],[Subventions pour charges de service public (SCSP) notifiées en CP en 2019 au titre des programmes 150 et 231 (en euros)]]+Tableau3[[#This Row],[masse salariale manquante]]+Tableau3[[#This Row],[masse salariale supplémentaire à la SCSP corrigée par la variable démographique]]</f>
        <v>132324064.85818076</v>
      </c>
      <c r="P60" s="71">
        <f t="shared" si="12"/>
        <v>135228015.38747227</v>
      </c>
      <c r="Q60" s="73"/>
      <c r="R60" s="73"/>
      <c r="S60" s="104">
        <f t="shared" si="13"/>
        <v>69822.874278383577</v>
      </c>
    </row>
    <row r="61" spans="1:19">
      <c r="A61" s="153" t="s">
        <v>211</v>
      </c>
      <c r="B61" s="150" t="s">
        <v>6</v>
      </c>
      <c r="C61" s="150" t="s">
        <v>53</v>
      </c>
      <c r="D61" s="150" t="s">
        <v>246</v>
      </c>
      <c r="E61" s="210">
        <v>86808053</v>
      </c>
      <c r="F61" s="225">
        <v>94380705</v>
      </c>
      <c r="G61" s="151">
        <v>1216</v>
      </c>
      <c r="H61" s="176">
        <v>20338</v>
      </c>
      <c r="I61" s="20">
        <f t="shared" si="9"/>
        <v>4640.608958599666</v>
      </c>
      <c r="J61" s="21">
        <f t="shared" si="10"/>
        <v>5.9789556495230602</v>
      </c>
      <c r="K61" s="22">
        <f t="shared" si="16"/>
        <v>3474244.8613075465</v>
      </c>
      <c r="L61" s="23">
        <f t="shared" si="17"/>
        <v>37.280545644048061</v>
      </c>
      <c r="M61" s="58">
        <f t="shared" si="11"/>
        <v>2236832.7386428835</v>
      </c>
      <c r="N61" s="58">
        <f>IF(Tableau3[[#This Row],[ECART DE SCSP CORIGÉE PAR LA VARIABLE DÉMOGRAPHIQUE / MOYENNE DE SON TYPE D''UNIVERSITÉ]]-Tableau3[[#This Row],[masse salariale manquante]]&gt;0,Tableau3[[#This Row],[ECART DE SCSP CORIGÉE PAR LA VARIABLE DÉMOGRAPHIQUE / MOYENNE DE SON TYPE D''UNIVERSITÉ]]-Tableau3[[#This Row],[masse salariale manquante]],0)</f>
        <v>1237412.122664663</v>
      </c>
      <c r="O61" s="71">
        <f>Tableau3[[#This Row],[Subventions pour charges de service public (SCSP) notifiées en CP en 2019 au titre des programmes 150 et 231 (en euros)]]+Tableau3[[#This Row],[masse salariale manquante]]+Tableau3[[#This Row],[masse salariale supplémentaire à la SCSP corrigée par la variable démographique]]</f>
        <v>97854949.861307546</v>
      </c>
      <c r="P61" s="71">
        <f t="shared" si="12"/>
        <v>100002449.89275001</v>
      </c>
      <c r="Q61" s="72"/>
      <c r="R61" s="72"/>
      <c r="S61" s="104">
        <f t="shared" si="13"/>
        <v>71388.20148026316</v>
      </c>
    </row>
    <row r="62" spans="1:19">
      <c r="A62" s="153" t="s">
        <v>211</v>
      </c>
      <c r="B62" s="150" t="s">
        <v>39</v>
      </c>
      <c r="C62" s="150" t="s">
        <v>171</v>
      </c>
      <c r="D62" s="150" t="s">
        <v>41</v>
      </c>
      <c r="E62" s="210">
        <v>83737191</v>
      </c>
      <c r="F62" s="225">
        <v>93434905</v>
      </c>
      <c r="G62" s="151">
        <v>1245</v>
      </c>
      <c r="H62" s="176">
        <v>19541</v>
      </c>
      <c r="I62" s="20">
        <f t="shared" si="9"/>
        <v>4781.4802210736398</v>
      </c>
      <c r="J62" s="21">
        <f t="shared" si="10"/>
        <v>6.3712194872319747</v>
      </c>
      <c r="K62" s="22">
        <f t="shared" si="16"/>
        <v>585331.76073414087</v>
      </c>
      <c r="L62" s="56">
        <f t="shared" si="17"/>
        <v>-40.832670742927348</v>
      </c>
      <c r="M62" s="58">
        <f t="shared" si="11"/>
        <v>0</v>
      </c>
      <c r="N62" s="58">
        <f>IF(Tableau3[[#This Row],[ECART DE SCSP CORIGÉE PAR LA VARIABLE DÉMOGRAPHIQUE / MOYENNE DE SON TYPE D''UNIVERSITÉ]]-Tableau3[[#This Row],[masse salariale manquante]]&gt;0,Tableau3[[#This Row],[ECART DE SCSP CORIGÉE PAR LA VARIABLE DÉMOGRAPHIQUE / MOYENNE DE SON TYPE D''UNIVERSITÉ]]-Tableau3[[#This Row],[masse salariale manquante]],0)</f>
        <v>585331.76073414087</v>
      </c>
      <c r="O62" s="71">
        <f>Tableau3[[#This Row],[Subventions pour charges de service public (SCSP) notifiées en CP en 2019 au titre des programmes 150 et 231 (en euros)]]+Tableau3[[#This Row],[masse salariale manquante]]+Tableau3[[#This Row],[masse salariale supplémentaire à la SCSP corrigée par la variable démographique]]</f>
        <v>94020236.760734141</v>
      </c>
      <c r="P62" s="71">
        <f t="shared" si="12"/>
        <v>96083581.146338284</v>
      </c>
      <c r="Q62" s="73"/>
      <c r="R62" s="73"/>
      <c r="S62" s="104">
        <f t="shared" si="13"/>
        <v>67258.78795180723</v>
      </c>
    </row>
    <row r="63" spans="1:19">
      <c r="A63" s="18" t="s">
        <v>211</v>
      </c>
      <c r="B63" s="150" t="s">
        <v>4</v>
      </c>
      <c r="C63" s="150" t="s">
        <v>199</v>
      </c>
      <c r="D63" s="150" t="s">
        <v>14</v>
      </c>
      <c r="E63" s="210">
        <v>72987604</v>
      </c>
      <c r="F63" s="225">
        <v>79388896</v>
      </c>
      <c r="G63" s="150">
        <v>985</v>
      </c>
      <c r="H63" s="176">
        <v>15422</v>
      </c>
      <c r="I63" s="20">
        <f t="shared" si="9"/>
        <v>5147.7691609389185</v>
      </c>
      <c r="J63" s="21">
        <f t="shared" si="10"/>
        <v>6.3869796394760732</v>
      </c>
      <c r="K63" s="64">
        <f t="shared" si="16"/>
        <v>-5186956.9321917146</v>
      </c>
      <c r="L63" s="56">
        <f t="shared" si="17"/>
        <v>-34.656181781762825</v>
      </c>
      <c r="M63" s="58">
        <f t="shared" si="11"/>
        <v>0</v>
      </c>
      <c r="N63" s="58">
        <f>IF(Tableau3[[#This Row],[ECART DE SCSP CORIGÉE PAR LA VARIABLE DÉMOGRAPHIQUE / MOYENNE DE SON TYPE D''UNIVERSITÉ]]-Tableau3[[#This Row],[masse salariale manquante]]&gt;0,Tableau3[[#This Row],[ECART DE SCSP CORIGÉE PAR LA VARIABLE DÉMOGRAPHIQUE / MOYENNE DE SON TYPE D''UNIVERSITÉ]]-Tableau3[[#This Row],[masse salariale manquante]],0)</f>
        <v>0</v>
      </c>
      <c r="O63" s="71">
        <f>Tableau3[[#This Row],[Subventions pour charges de service public (SCSP) notifiées en CP en 2019 au titre des programmes 150 et 231 (en euros)]]+Tableau3[[#This Row],[masse salariale manquante]]+Tableau3[[#This Row],[masse salariale supplémentaire à la SCSP corrigée par la variable démographique]]</f>
        <v>79388896</v>
      </c>
      <c r="P63" s="71">
        <f t="shared" si="12"/>
        <v>81131144.674163327</v>
      </c>
      <c r="Q63" s="73"/>
      <c r="R63" s="73"/>
      <c r="S63" s="104">
        <f t="shared" si="13"/>
        <v>74099.090355329943</v>
      </c>
    </row>
    <row r="64" spans="1:19">
      <c r="A64" s="18" t="s">
        <v>211</v>
      </c>
      <c r="B64" s="150" t="s">
        <v>39</v>
      </c>
      <c r="C64" s="150" t="s">
        <v>167</v>
      </c>
      <c r="D64" s="150" t="s">
        <v>252</v>
      </c>
      <c r="E64" s="210">
        <v>115737631</v>
      </c>
      <c r="F64" s="225">
        <v>122096964</v>
      </c>
      <c r="G64" s="151">
        <v>1530</v>
      </c>
      <c r="H64" s="176">
        <v>23528</v>
      </c>
      <c r="I64" s="20">
        <f t="shared" si="9"/>
        <v>5189.432335940156</v>
      </c>
      <c r="J64" s="21">
        <f t="shared" si="10"/>
        <v>6.5028901734104041</v>
      </c>
      <c r="K64" s="64">
        <f t="shared" si="16"/>
        <v>-8893538.8678904474</v>
      </c>
      <c r="L64" s="56">
        <f t="shared" si="17"/>
        <v>-80.143343597543435</v>
      </c>
      <c r="M64" s="58">
        <f t="shared" si="11"/>
        <v>0</v>
      </c>
      <c r="N64" s="58">
        <f>IF(Tableau3[[#This Row],[ECART DE SCSP CORIGÉE PAR LA VARIABLE DÉMOGRAPHIQUE / MOYENNE DE SON TYPE D''UNIVERSITÉ]]-Tableau3[[#This Row],[masse salariale manquante]]&gt;0,Tableau3[[#This Row],[ECART DE SCSP CORIGÉE PAR LA VARIABLE DÉMOGRAPHIQUE / MOYENNE DE SON TYPE D''UNIVERSITÉ]]-Tableau3[[#This Row],[masse salariale manquante]],0)</f>
        <v>0</v>
      </c>
      <c r="O64" s="71">
        <f>Tableau3[[#This Row],[Subventions pour charges de service public (SCSP) notifiées en CP en 2019 au titre des programmes 150 et 231 (en euros)]]+Tableau3[[#This Row],[masse salariale manquante]]+Tableau3[[#This Row],[masse salariale supplémentaire à la SCSP corrigée par la variable démographique]]</f>
        <v>122096964</v>
      </c>
      <c r="P64" s="71">
        <f t="shared" si="12"/>
        <v>124776473.15513888</v>
      </c>
      <c r="Q64" s="72"/>
      <c r="R64" s="72"/>
      <c r="S64" s="104">
        <f t="shared" si="13"/>
        <v>75645.510457516342</v>
      </c>
    </row>
    <row r="65" spans="1:24">
      <c r="A65" s="18" t="s">
        <v>211</v>
      </c>
      <c r="B65" s="150" t="s">
        <v>4</v>
      </c>
      <c r="C65" s="150" t="s">
        <v>176</v>
      </c>
      <c r="D65" s="150" t="s">
        <v>257</v>
      </c>
      <c r="E65" s="210">
        <v>142134097</v>
      </c>
      <c r="F65" s="225">
        <v>160492539</v>
      </c>
      <c r="G65" s="151">
        <v>2041</v>
      </c>
      <c r="H65" s="176">
        <v>29419</v>
      </c>
      <c r="I65" s="20">
        <f t="shared" si="9"/>
        <v>5455.4042965430508</v>
      </c>
      <c r="J65" s="21">
        <f t="shared" si="10"/>
        <v>6.9376933274414494</v>
      </c>
      <c r="K65" s="64">
        <f t="shared" si="16"/>
        <v>-18944954.676575541</v>
      </c>
      <c r="L65" s="56">
        <f t="shared" si="17"/>
        <v>-228.12457604964857</v>
      </c>
      <c r="M65" s="58">
        <f t="shared" si="11"/>
        <v>0</v>
      </c>
      <c r="N65" s="58">
        <f>IF(Tableau3[[#This Row],[ECART DE SCSP CORIGÉE PAR LA VARIABLE DÉMOGRAPHIQUE / MOYENNE DE SON TYPE D''UNIVERSITÉ]]-Tableau3[[#This Row],[masse salariale manquante]]&gt;0,Tableau3[[#This Row],[ECART DE SCSP CORIGÉE PAR LA VARIABLE DÉMOGRAPHIQUE / MOYENNE DE SON TYPE D''UNIVERSITÉ]]-Tableau3[[#This Row],[masse salariale manquante]],0)</f>
        <v>0</v>
      </c>
      <c r="O65" s="71">
        <f>Tableau3[[#This Row],[Subventions pour charges de service public (SCSP) notifiées en CP en 2019 au titre des programmes 150 et 231 (en euros)]]+Tableau3[[#This Row],[masse salariale manquante]]+Tableau3[[#This Row],[masse salariale supplémentaire à la SCSP corrigée par la variable démographique]]</f>
        <v>160492539</v>
      </c>
      <c r="P65" s="71">
        <f t="shared" si="12"/>
        <v>164014667.75319311</v>
      </c>
      <c r="Q65" s="72"/>
      <c r="R65" s="72"/>
      <c r="S65" s="104">
        <f t="shared" si="13"/>
        <v>69639.439980401759</v>
      </c>
    </row>
    <row r="66" spans="1:24">
      <c r="A66" s="18" t="s">
        <v>211</v>
      </c>
      <c r="B66" s="150" t="s">
        <v>39</v>
      </c>
      <c r="C66" s="150" t="s">
        <v>168</v>
      </c>
      <c r="D66" s="150" t="s">
        <v>303</v>
      </c>
      <c r="E66" s="210">
        <v>156717824</v>
      </c>
      <c r="F66" s="225">
        <v>169382461</v>
      </c>
      <c r="G66" s="151">
        <v>2154</v>
      </c>
      <c r="H66" s="176">
        <v>29792</v>
      </c>
      <c r="I66" s="20">
        <f t="shared" si="9"/>
        <v>5685.5015104726099</v>
      </c>
      <c r="J66" s="21">
        <f t="shared" si="10"/>
        <v>7.2301288936627284</v>
      </c>
      <c r="K66" s="64">
        <f t="shared" si="16"/>
        <v>-26040211.699770153</v>
      </c>
      <c r="L66" s="56">
        <f t="shared" si="17"/>
        <v>-318.13934429012306</v>
      </c>
      <c r="M66" s="58">
        <f t="shared" si="11"/>
        <v>0</v>
      </c>
      <c r="N66" s="58">
        <f>IF(Tableau3[[#This Row],[ECART DE SCSP CORIGÉE PAR LA VARIABLE DÉMOGRAPHIQUE / MOYENNE DE SON TYPE D''UNIVERSITÉ]]-Tableau3[[#This Row],[masse salariale manquante]]&gt;0,Tableau3[[#This Row],[ECART DE SCSP CORIGÉE PAR LA VARIABLE DÉMOGRAPHIQUE / MOYENNE DE SON TYPE D''UNIVERSITÉ]]-Tableau3[[#This Row],[masse salariale manquante]],0)</f>
        <v>0</v>
      </c>
      <c r="O66" s="71">
        <f>Tableau3[[#This Row],[Subventions pour charges de service public (SCSP) notifiées en CP en 2019 au titre des programmes 150 et 231 (en euros)]]+Tableau3[[#This Row],[masse salariale manquante]]+Tableau3[[#This Row],[masse salariale supplémentaire à la SCSP corrigée par la variable démographique]]</f>
        <v>169382461</v>
      </c>
      <c r="P66" s="71">
        <f t="shared" si="12"/>
        <v>173099685.73762292</v>
      </c>
      <c r="Q66" s="72"/>
      <c r="R66" s="72"/>
      <c r="S66" s="104">
        <f t="shared" si="13"/>
        <v>72756.649953574743</v>
      </c>
    </row>
    <row r="67" spans="1:24">
      <c r="A67" s="18" t="s">
        <v>211</v>
      </c>
      <c r="B67" s="150" t="s">
        <v>4</v>
      </c>
      <c r="C67" s="150" t="s">
        <v>172</v>
      </c>
      <c r="D67" s="150" t="s">
        <v>255</v>
      </c>
      <c r="E67" s="210">
        <v>85349234</v>
      </c>
      <c r="F67" s="225">
        <v>94420576</v>
      </c>
      <c r="G67" s="151">
        <v>1173</v>
      </c>
      <c r="H67" s="176">
        <v>16123</v>
      </c>
      <c r="I67" s="20">
        <f t="shared" si="9"/>
        <v>5856.2659554673446</v>
      </c>
      <c r="J67" s="21">
        <f t="shared" si="10"/>
        <v>7.2753209700427961</v>
      </c>
      <c r="K67" s="64">
        <f t="shared" si="16"/>
        <v>-16845821.520018607</v>
      </c>
      <c r="L67" s="56">
        <f t="shared" si="17"/>
        <v>-179.45873549911562</v>
      </c>
      <c r="M67" s="58">
        <f t="shared" si="11"/>
        <v>0</v>
      </c>
      <c r="N67" s="58">
        <f>IF(Tableau3[[#This Row],[ECART DE SCSP CORIGÉE PAR LA VARIABLE DÉMOGRAPHIQUE / MOYENNE DE SON TYPE D''UNIVERSITÉ]]-Tableau3[[#This Row],[masse salariale manquante]]&gt;0,Tableau3[[#This Row],[ECART DE SCSP CORIGÉE PAR LA VARIABLE DÉMOGRAPHIQUE / MOYENNE DE SON TYPE D''UNIVERSITÉ]]-Tableau3[[#This Row],[masse salariale manquante]],0)</f>
        <v>0</v>
      </c>
      <c r="O67" s="71">
        <f>Tableau3[[#This Row],[Subventions pour charges de service public (SCSP) notifiées en CP en 2019 au titre des programmes 150 et 231 (en euros)]]+Tableau3[[#This Row],[masse salariale manquante]]+Tableau3[[#This Row],[masse salariale supplémentaire à la SCSP corrigée par la variable démographique]]</f>
        <v>94420576</v>
      </c>
      <c r="P67" s="71">
        <f t="shared" si="12"/>
        <v>96492706.129504994</v>
      </c>
      <c r="Q67" s="72"/>
      <c r="R67" s="72"/>
      <c r="S67" s="104">
        <f t="shared" si="13"/>
        <v>72761.49531116795</v>
      </c>
    </row>
    <row r="68" spans="1:24">
      <c r="A68" s="154" t="s">
        <v>212</v>
      </c>
      <c r="B68" s="155" t="s">
        <v>6</v>
      </c>
      <c r="C68" s="155" t="s">
        <v>160</v>
      </c>
      <c r="D68" s="155" t="s">
        <v>243</v>
      </c>
      <c r="E68" s="211">
        <v>84053340</v>
      </c>
      <c r="F68" s="226">
        <v>91004543</v>
      </c>
      <c r="G68" s="156">
        <v>1206</v>
      </c>
      <c r="H68" s="177">
        <v>27336</v>
      </c>
      <c r="I68" s="15">
        <f t="shared" ref="I68:I72" si="18">F68/H68</f>
        <v>3329.1097088088968</v>
      </c>
      <c r="J68" s="16">
        <f t="shared" si="10"/>
        <v>4.4117647058823533</v>
      </c>
      <c r="K68" s="61">
        <f t="shared" si="16"/>
        <v>40520823.771988556</v>
      </c>
      <c r="L68" s="62">
        <f t="shared" si="17"/>
        <v>478.51553720747847</v>
      </c>
      <c r="M68" s="58">
        <f t="shared" ref="M68:M72" si="19">IF(L68&gt;0,L68*$O$2,0)</f>
        <v>28710932.232448708</v>
      </c>
      <c r="N68" s="58">
        <f>IF(Tableau3[[#This Row],[ECART DE SCSP CORIGÉE PAR LA VARIABLE DÉMOGRAPHIQUE / MOYENNE DE SON TYPE D''UNIVERSITÉ]]-Tableau3[[#This Row],[masse salariale manquante]]&gt;0,Tableau3[[#This Row],[ECART DE SCSP CORIGÉE PAR LA VARIABLE DÉMOGRAPHIQUE / MOYENNE DE SON TYPE D''UNIVERSITÉ]]-Tableau3[[#This Row],[masse salariale manquante]],0)</f>
        <v>11809891.539539848</v>
      </c>
      <c r="O68" s="71">
        <f>Tableau3[[#This Row],[Subventions pour charges de service public (SCSP) notifiées en CP en 2019 au titre des programmes 150 et 231 (en euros)]]+Tableau3[[#This Row],[masse salariale manquante]]+Tableau3[[#This Row],[masse salariale supplémentaire à la SCSP corrigée par la variable démographique]]</f>
        <v>131525366.77198856</v>
      </c>
      <c r="P68" s="71">
        <f t="shared" ref="P68:P72" si="20">$T$2*O68</f>
        <v>134411789.27466881</v>
      </c>
      <c r="Q68" s="72"/>
      <c r="R68" s="72"/>
      <c r="S68" s="104">
        <f t="shared" si="13"/>
        <v>69695.970149253728</v>
      </c>
    </row>
    <row r="69" spans="1:24">
      <c r="A69" s="154" t="s">
        <v>212</v>
      </c>
      <c r="B69" s="155" t="s">
        <v>6</v>
      </c>
      <c r="C69" s="155" t="s">
        <v>163</v>
      </c>
      <c r="D69" s="155" t="s">
        <v>255</v>
      </c>
      <c r="E69" s="211">
        <v>65222525</v>
      </c>
      <c r="F69" s="226">
        <v>70746720</v>
      </c>
      <c r="G69" s="155">
        <v>926</v>
      </c>
      <c r="H69" s="177">
        <v>17391</v>
      </c>
      <c r="I69" s="15">
        <f t="shared" si="18"/>
        <v>4068.0075901328273</v>
      </c>
      <c r="J69" s="16">
        <f t="shared" si="10"/>
        <v>5.3245931803806563</v>
      </c>
      <c r="K69" s="61">
        <f t="shared" si="16"/>
        <v>12928933.114268839</v>
      </c>
      <c r="L69" s="62">
        <f t="shared" si="17"/>
        <v>145.67872796222036</v>
      </c>
      <c r="M69" s="58">
        <f t="shared" si="19"/>
        <v>8740723.677733222</v>
      </c>
      <c r="N69" s="58">
        <f>IF(Tableau3[[#This Row],[ECART DE SCSP CORIGÉE PAR LA VARIABLE DÉMOGRAPHIQUE / MOYENNE DE SON TYPE D''UNIVERSITÉ]]-Tableau3[[#This Row],[masse salariale manquante]]&gt;0,Tableau3[[#This Row],[ECART DE SCSP CORIGÉE PAR LA VARIABLE DÉMOGRAPHIQUE / MOYENNE DE SON TYPE D''UNIVERSITÉ]]-Tableau3[[#This Row],[masse salariale manquante]],0)</f>
        <v>4188209.4365356173</v>
      </c>
      <c r="O69" s="71">
        <f>Tableau3[[#This Row],[Subventions pour charges de service public (SCSP) notifiées en CP en 2019 au titre des programmes 150 et 231 (en euros)]]+Tableau3[[#This Row],[masse salariale manquante]]+Tableau3[[#This Row],[masse salariale supplémentaire à la SCSP corrigée par la variable démographique]]</f>
        <v>83675653.114268839</v>
      </c>
      <c r="P69" s="71">
        <f t="shared" si="20"/>
        <v>85511977.878100872</v>
      </c>
      <c r="Q69" s="73"/>
      <c r="R69" s="73"/>
      <c r="S69" s="104">
        <f t="shared" si="13"/>
        <v>70434.692224622035</v>
      </c>
    </row>
    <row r="70" spans="1:24">
      <c r="A70" s="154" t="s">
        <v>212</v>
      </c>
      <c r="B70" s="155" t="s">
        <v>18</v>
      </c>
      <c r="C70" s="155" t="s">
        <v>175</v>
      </c>
      <c r="D70" s="155" t="s">
        <v>257</v>
      </c>
      <c r="E70" s="211">
        <v>74539633</v>
      </c>
      <c r="F70" s="226">
        <v>84965889</v>
      </c>
      <c r="G70" s="156">
        <v>1030</v>
      </c>
      <c r="H70" s="177">
        <v>19334</v>
      </c>
      <c r="I70" s="15">
        <f t="shared" si="18"/>
        <v>4394.6358229026582</v>
      </c>
      <c r="J70" s="16">
        <f t="shared" si="10"/>
        <v>5.3274025033619532</v>
      </c>
      <c r="K70" s="61">
        <f t="shared" si="16"/>
        <v>8058380.8701209724</v>
      </c>
      <c r="L70" s="62">
        <f t="shared" si="17"/>
        <v>161.41144996961475</v>
      </c>
      <c r="M70" s="58">
        <f t="shared" si="19"/>
        <v>9684686.9981768858</v>
      </c>
      <c r="N70" s="58">
        <f>IF(Tableau3[[#This Row],[ECART DE SCSP CORIGÉE PAR LA VARIABLE DÉMOGRAPHIQUE / MOYENNE DE SON TYPE D''UNIVERSITÉ]]-Tableau3[[#This Row],[masse salariale manquante]]&gt;0,Tableau3[[#This Row],[ECART DE SCSP CORIGÉE PAR LA VARIABLE DÉMOGRAPHIQUE / MOYENNE DE SON TYPE D''UNIVERSITÉ]]-Tableau3[[#This Row],[masse salariale manquante]],0)</f>
        <v>0</v>
      </c>
      <c r="O70" s="71">
        <f>Tableau3[[#This Row],[Subventions pour charges de service public (SCSP) notifiées en CP en 2019 au titre des programmes 150 et 231 (en euros)]]+Tableau3[[#This Row],[masse salariale manquante]]+Tableau3[[#This Row],[masse salariale supplémentaire à la SCSP corrigée par la variable démographique]]</f>
        <v>94650575.998176888</v>
      </c>
      <c r="P70" s="71">
        <f t="shared" si="20"/>
        <v>96727753.649590746</v>
      </c>
      <c r="Q70" s="73"/>
      <c r="R70" s="73"/>
      <c r="S70" s="104">
        <f t="shared" si="13"/>
        <v>72368.575728155338</v>
      </c>
    </row>
    <row r="71" spans="1:24">
      <c r="A71" s="154" t="s">
        <v>212</v>
      </c>
      <c r="B71" s="155" t="s">
        <v>4</v>
      </c>
      <c r="C71" s="155" t="s">
        <v>164</v>
      </c>
      <c r="D71" s="155" t="s">
        <v>255</v>
      </c>
      <c r="E71" s="211">
        <v>163443649</v>
      </c>
      <c r="F71" s="226">
        <v>179460341</v>
      </c>
      <c r="G71" s="156">
        <v>2340</v>
      </c>
      <c r="H71" s="177">
        <v>38283</v>
      </c>
      <c r="I71" s="15">
        <f t="shared" si="18"/>
        <v>4687.7293054358333</v>
      </c>
      <c r="J71" s="16">
        <f t="shared" si="10"/>
        <v>6.1123736384295899</v>
      </c>
      <c r="K71" s="61">
        <f t="shared" si="16"/>
        <v>4735796.5523865223</v>
      </c>
      <c r="L71" s="62">
        <f t="shared" si="17"/>
        <v>19.098196916662801</v>
      </c>
      <c r="M71" s="58">
        <f t="shared" si="19"/>
        <v>1145891.814999768</v>
      </c>
      <c r="N71" s="58">
        <f>IF(Tableau3[[#This Row],[ECART DE SCSP CORIGÉE PAR LA VARIABLE DÉMOGRAPHIQUE / MOYENNE DE SON TYPE D''UNIVERSITÉ]]-Tableau3[[#This Row],[masse salariale manquante]]&gt;0,Tableau3[[#This Row],[ECART DE SCSP CORIGÉE PAR LA VARIABLE DÉMOGRAPHIQUE / MOYENNE DE SON TYPE D''UNIVERSITÉ]]-Tableau3[[#This Row],[masse salariale manquante]],0)</f>
        <v>3589904.7373867542</v>
      </c>
      <c r="O71" s="71">
        <f>Tableau3[[#This Row],[Subventions pour charges de service public (SCSP) notifiées en CP en 2019 au titre des programmes 150 et 231 (en euros)]]+Tableau3[[#This Row],[masse salariale manquante]]+Tableau3[[#This Row],[masse salariale supplémentaire à la SCSP corrigée par la variable démographique]]</f>
        <v>184196137.55238652</v>
      </c>
      <c r="P71" s="71">
        <f t="shared" si="20"/>
        <v>188238459.49671298</v>
      </c>
      <c r="Q71" s="73"/>
      <c r="R71" s="73"/>
      <c r="S71" s="104">
        <f t="shared" si="13"/>
        <v>69847.713247863241</v>
      </c>
      <c r="U71" t="s">
        <v>218</v>
      </c>
    </row>
    <row r="72" spans="1:24">
      <c r="A72" s="154" t="s">
        <v>212</v>
      </c>
      <c r="B72" s="155" t="s">
        <v>4</v>
      </c>
      <c r="C72" s="155" t="s">
        <v>332</v>
      </c>
      <c r="D72" s="155" t="s">
        <v>255</v>
      </c>
      <c r="E72" s="211">
        <v>52968313</v>
      </c>
      <c r="F72" s="226">
        <v>58541322</v>
      </c>
      <c r="G72" s="155">
        <v>746</v>
      </c>
      <c r="H72" s="177">
        <v>10542</v>
      </c>
      <c r="I72" s="15">
        <f t="shared" si="18"/>
        <v>5553.1513944223107</v>
      </c>
      <c r="J72" s="16">
        <f t="shared" si="10"/>
        <v>7.0764560804401437</v>
      </c>
      <c r="K72" s="65">
        <f t="shared" si="16"/>
        <v>-7819182.0925408527</v>
      </c>
      <c r="L72" s="63">
        <f t="shared" si="17"/>
        <v>-96.374495418450465</v>
      </c>
      <c r="M72" s="58">
        <f t="shared" si="19"/>
        <v>0</v>
      </c>
      <c r="N72" s="58">
        <f>IF(Tableau3[[#This Row],[ECART DE SCSP CORIGÉE PAR LA VARIABLE DÉMOGRAPHIQUE / MOYENNE DE SON TYPE D''UNIVERSITÉ]]-Tableau3[[#This Row],[masse salariale manquante]]&gt;0,Tableau3[[#This Row],[ECART DE SCSP CORIGÉE PAR LA VARIABLE DÉMOGRAPHIQUE / MOYENNE DE SON TYPE D''UNIVERSITÉ]]-Tableau3[[#This Row],[masse salariale manquante]],0)</f>
        <v>0</v>
      </c>
      <c r="O72" s="71">
        <f>Tableau3[[#This Row],[Subventions pour charges de service public (SCSP) notifiées en CP en 2019 au titre des programmes 150 et 231 (en euros)]]+Tableau3[[#This Row],[masse salariale manquante]]+Tableau3[[#This Row],[masse salariale supplémentaire à la SCSP corrigée par la variable démographique]]</f>
        <v>58541322</v>
      </c>
      <c r="P72" s="71">
        <f t="shared" si="20"/>
        <v>59826055.077006996</v>
      </c>
      <c r="Q72" s="72"/>
      <c r="R72" s="72"/>
      <c r="S72" s="104">
        <f t="shared" si="13"/>
        <v>71003.100536193029</v>
      </c>
    </row>
    <row r="73" spans="1:24">
      <c r="A73" s="93"/>
      <c r="B73" s="158" t="s">
        <v>61</v>
      </c>
      <c r="C73" s="159" t="s">
        <v>196</v>
      </c>
      <c r="D73" s="159"/>
      <c r="E73" s="312">
        <f>SUM(E4:E72)</f>
        <v>10029273056</v>
      </c>
      <c r="F73" s="312">
        <v>11058113729</v>
      </c>
      <c r="G73" s="52">
        <v>143587</v>
      </c>
      <c r="H73" s="52">
        <f>SUM(H4:H72)</f>
        <v>1594842</v>
      </c>
      <c r="I73" s="299">
        <f t="shared" ref="I73:I77" si="21">F73/H73</f>
        <v>6933.6735106048127</v>
      </c>
      <c r="J73" s="287">
        <f t="shared" ref="J73:J77" si="22">G73/H73*100</f>
        <v>9.0032116034064824</v>
      </c>
      <c r="K73" s="59">
        <f>SUMIF(K4:K72,"&gt;0",K4:K72)</f>
        <v>612252757.10894871</v>
      </c>
      <c r="L73" s="106">
        <f>SUMIF(L4:L72,"&gt;0",L4:L72)</f>
        <v>8357.4116072648703</v>
      </c>
      <c r="M73" s="60">
        <f t="shared" ref="M73" si="23">L73*60000</f>
        <v>501444696.43589222</v>
      </c>
      <c r="N73" s="60">
        <f>SUM(N4:N72)</f>
        <v>142012847.04569095</v>
      </c>
      <c r="O73" s="67">
        <f>SUM(O4:O72)</f>
        <v>11701571272.481585</v>
      </c>
      <c r="P73" s="67">
        <f>SUM(P4:P72)</f>
        <v>11958371002.195782</v>
      </c>
      <c r="Q73" s="68">
        <f>O73/(H73+Q2)</f>
        <v>7179.5740154454143</v>
      </c>
      <c r="R73" s="88">
        <f>(G73+L73)/(H73+Q2)*100</f>
        <v>9.3226467109857794</v>
      </c>
      <c r="S73" s="105">
        <f t="shared" ref="S73" si="24">E73/G73</f>
        <v>69848.057665387532</v>
      </c>
      <c r="T73" s="69"/>
      <c r="U73" s="59">
        <f>P73-F73</f>
        <v>900257273.19578171</v>
      </c>
      <c r="V73" t="s">
        <v>228</v>
      </c>
      <c r="W73" s="79">
        <f>P73-O73</f>
        <v>256799729.71419716</v>
      </c>
      <c r="X73" s="80" t="s">
        <v>237</v>
      </c>
    </row>
    <row r="74" spans="1:24">
      <c r="A74" s="93"/>
      <c r="B74" s="244"/>
      <c r="C74" s="245" t="s">
        <v>214</v>
      </c>
      <c r="D74" s="245"/>
      <c r="E74" s="308">
        <f>SUMIF(A4:A72,"UTALLSHS",E4:E72)+SUMIF(A4:A72,"UTDEG",E4:E72)</f>
        <v>1292552955</v>
      </c>
      <c r="F74" s="308">
        <f>SUMIF(A4:A72,"UTALLSHS",F4:F72)+SUMIF(A4:A72,"UTDEG",F4:F72)</f>
        <v>1417212771</v>
      </c>
      <c r="G74" s="304">
        <f>SUMIF(A4:A72,"UTALLSHS",G4:G72)+SUMIF(A4:A72,"UTDEG",G4:G72)</f>
        <v>18151</v>
      </c>
      <c r="H74" s="304">
        <f>SUMIF(A4:A72,"UTALLSHS",H4:H72)+SUMIF(A4:A72,"UTDEG",H4:H72)</f>
        <v>294551</v>
      </c>
      <c r="I74" s="283">
        <f t="shared" si="21"/>
        <v>4811.4342541699061</v>
      </c>
      <c r="J74" s="300">
        <f t="shared" si="22"/>
        <v>6.1622605253419609</v>
      </c>
      <c r="K74" s="86" t="s">
        <v>232</v>
      </c>
      <c r="L74" s="87"/>
      <c r="M74" s="227"/>
      <c r="N74" s="227"/>
      <c r="O74" s="227"/>
      <c r="P74" s="227"/>
      <c r="Q74" s="227"/>
      <c r="R74" s="54"/>
      <c r="S74" s="54"/>
      <c r="V74" s="57"/>
      <c r="W74" s="79">
        <f>K73+N73</f>
        <v>754265604.15463972</v>
      </c>
      <c r="X74" s="81" t="s">
        <v>229</v>
      </c>
    </row>
    <row r="75" spans="1:24">
      <c r="A75" s="93"/>
      <c r="B75" s="250"/>
      <c r="C75" s="251" t="s">
        <v>207</v>
      </c>
      <c r="D75" s="251"/>
      <c r="E75" s="309">
        <f>SUMIF($A4:$A72,"UPavS",E4:E72)</f>
        <v>6180366061</v>
      </c>
      <c r="F75" s="309">
        <f t="shared" ref="F75:H75" si="25">SUMIF($A4:$A72,"UPavS",F4:F72)</f>
        <v>6832031233</v>
      </c>
      <c r="G75" s="305">
        <f t="shared" si="25"/>
        <v>88822</v>
      </c>
      <c r="H75" s="305">
        <f t="shared" si="25"/>
        <v>935557</v>
      </c>
      <c r="I75" s="284">
        <f t="shared" si="21"/>
        <v>7302.6349361930916</v>
      </c>
      <c r="J75" s="301">
        <f t="shared" si="22"/>
        <v>9.4940233465197732</v>
      </c>
      <c r="K75" s="84"/>
      <c r="L75" s="85"/>
      <c r="M75" s="228"/>
      <c r="N75" s="228"/>
      <c r="O75" s="227"/>
      <c r="P75" s="227"/>
      <c r="Q75" s="227"/>
      <c r="R75" s="54" t="s">
        <v>298</v>
      </c>
      <c r="S75" s="54">
        <f>MIN(S4:S72)</f>
        <v>63892.408710217758</v>
      </c>
      <c r="W75" s="76">
        <f>W73/35000</f>
        <v>7337.135134691347</v>
      </c>
    </row>
    <row r="76" spans="1:24">
      <c r="A76" s="93"/>
      <c r="B76" s="256"/>
      <c r="C76" s="257" t="s">
        <v>208</v>
      </c>
      <c r="D76" s="257"/>
      <c r="E76" s="310">
        <f>SUMIF($A4:$A72,"UPhS",E4:E72)</f>
        <v>1345059369</v>
      </c>
      <c r="F76" s="310">
        <f t="shared" ref="F76:H76" si="26">SUMIF($A4:$A72,"UPhS",F4:F72)</f>
        <v>1474697990</v>
      </c>
      <c r="G76" s="306">
        <f t="shared" si="26"/>
        <v>18486</v>
      </c>
      <c r="H76" s="306">
        <f t="shared" si="26"/>
        <v>202211</v>
      </c>
      <c r="I76" s="285">
        <f t="shared" si="21"/>
        <v>7292.8673019766484</v>
      </c>
      <c r="J76" s="302">
        <f t="shared" si="22"/>
        <v>9.1419358986405275</v>
      </c>
      <c r="K76" s="84"/>
      <c r="L76" s="85"/>
      <c r="M76" s="228"/>
      <c r="N76" s="228"/>
      <c r="O76" s="227"/>
      <c r="P76" s="227"/>
      <c r="Q76" s="227"/>
      <c r="R76" s="54" t="s">
        <v>299</v>
      </c>
      <c r="S76" s="54">
        <f>MAX(S4:S18,S20:S21,S24:S42,S44:S54,S56:S72)</f>
        <v>112510.26363636364</v>
      </c>
      <c r="W76" s="76">
        <f>W74-(L73*60000)</f>
        <v>252820907.7187475</v>
      </c>
    </row>
    <row r="77" spans="1:24">
      <c r="A77" s="93"/>
      <c r="B77" s="262"/>
      <c r="C77" s="263" t="s">
        <v>209</v>
      </c>
      <c r="D77" s="263"/>
      <c r="E77" s="311">
        <f>SUMIF($A4:$A72,"USTS",E4:E72)</f>
        <v>1211294671</v>
      </c>
      <c r="F77" s="311">
        <f t="shared" ref="F77:H77" si="27">SUMIF($A4:$A72,"USTS",F4:F72)</f>
        <v>1334171735</v>
      </c>
      <c r="G77" s="307">
        <f t="shared" si="27"/>
        <v>18218</v>
      </c>
      <c r="H77" s="307">
        <f t="shared" si="27"/>
        <v>162523</v>
      </c>
      <c r="I77" s="286">
        <f t="shared" si="21"/>
        <v>8209.1256929788397</v>
      </c>
      <c r="J77" s="303">
        <f t="shared" si="22"/>
        <v>11.209490349058287</v>
      </c>
      <c r="K77" s="84"/>
      <c r="L77" s="85"/>
      <c r="M77" s="228"/>
      <c r="N77" s="228"/>
      <c r="O77" s="227"/>
      <c r="P77" s="227"/>
      <c r="Q77" s="227"/>
      <c r="R77" s="54"/>
      <c r="S77" s="54"/>
      <c r="W77" s="108">
        <f>L73*60000</f>
        <v>501444696.43589222</v>
      </c>
    </row>
    <row r="78" spans="1:24">
      <c r="A78" s="93"/>
      <c r="B78" s="294"/>
      <c r="C78" s="295"/>
      <c r="D78" s="295"/>
      <c r="E78" s="296"/>
      <c r="F78" s="296"/>
      <c r="G78" s="296"/>
      <c r="H78" s="297"/>
      <c r="I78" s="229"/>
      <c r="J78" s="298"/>
      <c r="K78" s="84"/>
      <c r="L78" s="85"/>
      <c r="M78" s="229"/>
      <c r="N78" s="229"/>
      <c r="O78" s="230"/>
      <c r="P78" s="230"/>
      <c r="Q78" s="227"/>
      <c r="R78" s="54"/>
      <c r="S78" s="54"/>
      <c r="U78" s="76"/>
    </row>
    <row r="79" spans="1:24">
      <c r="A79" s="93"/>
      <c r="B79" s="206" t="s">
        <v>149</v>
      </c>
      <c r="C79" s="93"/>
      <c r="D79" s="93"/>
      <c r="E79" s="163" t="s">
        <v>241</v>
      </c>
      <c r="F79" s="165">
        <f>AVERAGE(F4:F72)</f>
        <v>160262517.81159419</v>
      </c>
      <c r="G79" s="93"/>
      <c r="H79" s="165">
        <f>AVERAGE(H4:H72)</f>
        <v>23113.652173913044</v>
      </c>
      <c r="I79" s="93" t="s">
        <v>240</v>
      </c>
      <c r="J79" s="93"/>
      <c r="K79" s="93"/>
      <c r="L79" s="131"/>
      <c r="M79" s="93"/>
      <c r="N79" s="93"/>
      <c r="O79" s="93"/>
      <c r="P79" s="93"/>
      <c r="Q79" s="93"/>
    </row>
    <row r="80" spans="1:24">
      <c r="A80" s="93"/>
      <c r="B80" s="206" t="s">
        <v>143</v>
      </c>
      <c r="C80" s="206" t="s">
        <v>144</v>
      </c>
      <c r="D80" s="206" t="s">
        <v>34</v>
      </c>
      <c r="E80" s="231">
        <v>24795634</v>
      </c>
      <c r="F80" s="231">
        <v>31626520</v>
      </c>
      <c r="G80" s="166">
        <v>401</v>
      </c>
      <c r="H80" s="93"/>
      <c r="I80" s="93"/>
      <c r="J80" s="93"/>
      <c r="K80" s="93"/>
      <c r="L80" s="93"/>
      <c r="M80" s="93"/>
      <c r="N80" s="93"/>
      <c r="O80" s="93"/>
      <c r="P80" s="93"/>
      <c r="Q80" s="93"/>
    </row>
    <row r="81" spans="1:23">
      <c r="A81" s="93"/>
      <c r="B81" s="206" t="s">
        <v>143</v>
      </c>
      <c r="C81" s="206" t="s">
        <v>145</v>
      </c>
      <c r="D81" s="206" t="s">
        <v>243</v>
      </c>
      <c r="E81" s="231">
        <v>6111792</v>
      </c>
      <c r="F81" s="231">
        <v>6908663</v>
      </c>
      <c r="G81" s="166">
        <v>93</v>
      </c>
      <c r="H81" s="93"/>
      <c r="I81" s="93"/>
      <c r="J81" s="93"/>
      <c r="K81" s="93"/>
      <c r="L81" s="93"/>
      <c r="M81" s="93"/>
      <c r="N81" s="93"/>
      <c r="O81" s="93"/>
      <c r="P81" s="93"/>
      <c r="Q81" s="93"/>
    </row>
    <row r="82" spans="1:23">
      <c r="A82" s="93"/>
      <c r="B82" s="206" t="s">
        <v>96</v>
      </c>
      <c r="C82" s="206" t="s">
        <v>146</v>
      </c>
      <c r="D82" s="206" t="s">
        <v>257</v>
      </c>
      <c r="E82" s="231">
        <v>4421285</v>
      </c>
      <c r="F82" s="231">
        <v>5960051</v>
      </c>
      <c r="G82" s="166">
        <v>72</v>
      </c>
      <c r="H82" s="93"/>
      <c r="I82" s="93"/>
      <c r="J82" s="93"/>
      <c r="K82" s="93"/>
      <c r="L82" s="93"/>
      <c r="M82" s="93"/>
      <c r="N82" s="93"/>
      <c r="O82" s="93"/>
      <c r="P82" s="93"/>
      <c r="Q82" s="93"/>
    </row>
    <row r="83" spans="1:23">
      <c r="A83" s="93"/>
      <c r="B83" s="206" t="s">
        <v>147</v>
      </c>
      <c r="C83" s="206" t="s">
        <v>148</v>
      </c>
      <c r="D83" s="206" t="s">
        <v>253</v>
      </c>
      <c r="E83" s="231">
        <v>6249668</v>
      </c>
      <c r="F83" s="231">
        <v>6888330</v>
      </c>
      <c r="G83" s="166">
        <v>193</v>
      </c>
      <c r="H83" s="93"/>
      <c r="I83" s="93"/>
      <c r="J83" s="93"/>
      <c r="K83" s="93"/>
      <c r="L83" s="93"/>
      <c r="M83" s="93"/>
      <c r="N83" s="93"/>
      <c r="O83" s="93"/>
      <c r="P83" s="93"/>
      <c r="Q83" s="93"/>
      <c r="T83" s="6" t="s">
        <v>121</v>
      </c>
      <c r="V83" t="s">
        <v>238</v>
      </c>
    </row>
    <row r="84" spans="1:23">
      <c r="A84" s="93"/>
      <c r="B84" s="206" t="s">
        <v>258</v>
      </c>
      <c r="C84" s="206" t="s">
        <v>261</v>
      </c>
      <c r="D84" s="206" t="s">
        <v>14</v>
      </c>
      <c r="E84" s="231">
        <v>200000</v>
      </c>
      <c r="F84" s="231">
        <v>234253</v>
      </c>
      <c r="G84" s="166"/>
      <c r="H84" s="93"/>
      <c r="I84" s="93"/>
      <c r="J84" s="93"/>
      <c r="K84" s="93"/>
      <c r="L84" s="93"/>
      <c r="M84" s="93"/>
      <c r="N84" s="93"/>
      <c r="O84" s="93"/>
      <c r="P84" s="93"/>
      <c r="Q84" s="93"/>
      <c r="T84" s="6"/>
    </row>
    <row r="85" spans="1:23">
      <c r="A85" s="93"/>
      <c r="B85" s="206" t="s">
        <v>258</v>
      </c>
      <c r="C85" s="206" t="s">
        <v>265</v>
      </c>
      <c r="D85" s="206" t="s">
        <v>17</v>
      </c>
      <c r="E85" s="231">
        <v>673276</v>
      </c>
      <c r="F85" s="231">
        <v>673276</v>
      </c>
      <c r="G85" s="166"/>
      <c r="H85" s="93"/>
      <c r="I85" s="93"/>
      <c r="J85" s="93"/>
      <c r="K85" s="93"/>
      <c r="L85" s="93"/>
      <c r="M85" s="93"/>
      <c r="N85" s="93"/>
      <c r="O85" s="93"/>
      <c r="P85" s="93"/>
      <c r="Q85" s="93"/>
      <c r="T85" s="6"/>
    </row>
    <row r="86" spans="1:23">
      <c r="A86" s="93"/>
      <c r="B86" s="8" t="s">
        <v>233</v>
      </c>
      <c r="C86" s="93"/>
      <c r="D86" s="93"/>
      <c r="E86" s="232">
        <f>SUM(E80:E85)</f>
        <v>42451655</v>
      </c>
      <c r="F86" s="232">
        <f>SUM(F80:F85)</f>
        <v>52291093</v>
      </c>
      <c r="G86" s="167">
        <v>759</v>
      </c>
      <c r="H86" s="93"/>
      <c r="I86" s="93"/>
      <c r="J86" s="93"/>
      <c r="K86" s="93"/>
      <c r="L86" s="93"/>
      <c r="M86" s="93"/>
      <c r="N86" s="93"/>
      <c r="O86" s="93"/>
      <c r="P86" s="93"/>
      <c r="Q86" s="93"/>
      <c r="T86" s="89"/>
      <c r="U86" s="7" t="s">
        <v>118</v>
      </c>
      <c r="V86" s="7" t="s">
        <v>119</v>
      </c>
      <c r="W86" s="345" t="s">
        <v>120</v>
      </c>
    </row>
    <row r="87" spans="1:23">
      <c r="A87" s="93"/>
      <c r="B87" s="233" t="s">
        <v>202</v>
      </c>
      <c r="C87" s="206" t="s">
        <v>201</v>
      </c>
      <c r="D87" s="206"/>
      <c r="E87" s="232">
        <f>'2019-2021 GE'!E37+'2019-2021 GE'!E36</f>
        <v>1062669687</v>
      </c>
      <c r="F87" s="232">
        <f>'2019-2021 GE'!J37+'2019-2021 GE'!J36</f>
        <v>1210592892</v>
      </c>
      <c r="G87" s="167">
        <f>'2019-2021 GE'!O37+'2019-2021 GE'!O36</f>
        <v>16802</v>
      </c>
      <c r="H87" s="93"/>
      <c r="I87" s="93"/>
      <c r="J87" s="93"/>
      <c r="K87" s="93"/>
      <c r="L87" s="93"/>
      <c r="M87" s="93"/>
      <c r="N87" s="93"/>
      <c r="O87" s="93"/>
      <c r="P87" s="93"/>
      <c r="Q87" s="93"/>
      <c r="T87" s="89"/>
      <c r="U87" s="7"/>
      <c r="V87" s="7"/>
      <c r="W87" s="345"/>
    </row>
    <row r="88" spans="1:23">
      <c r="A88" s="93"/>
      <c r="B88" s="206" t="s">
        <v>61</v>
      </c>
      <c r="C88" s="206" t="s">
        <v>203</v>
      </c>
      <c r="D88" s="206"/>
      <c r="E88" s="221">
        <f>E87+E86+E73</f>
        <v>11134394398</v>
      </c>
      <c r="F88" s="221">
        <f>F87+F86+F73</f>
        <v>12320997714</v>
      </c>
      <c r="G88" s="221">
        <f>G87+G86+G73</f>
        <v>161148</v>
      </c>
      <c r="H88" s="221">
        <f>H73+'2019-2021 GE'!P37+'2019-2021 GE'!P36+'2019-2021 GE'!P79+H90+H91+H92+H93</f>
        <v>1620093</v>
      </c>
      <c r="I88" s="234">
        <f>F88/H88</f>
        <v>7605.1175543626196</v>
      </c>
      <c r="J88" s="235">
        <f>G88/H88*100</f>
        <v>9.9468363853186208</v>
      </c>
      <c r="K88" s="93"/>
      <c r="L88" s="93"/>
      <c r="M88" s="93"/>
      <c r="N88" s="93"/>
      <c r="O88" s="93"/>
      <c r="P88" s="93"/>
      <c r="Q88" s="93"/>
      <c r="T88" s="8" t="s">
        <v>98</v>
      </c>
      <c r="U88" s="8" t="s">
        <v>150</v>
      </c>
      <c r="V88" s="8" t="s">
        <v>151</v>
      </c>
      <c r="W88" s="8" t="s">
        <v>152</v>
      </c>
    </row>
    <row r="89" spans="1:23">
      <c r="A89" s="93"/>
      <c r="B89" s="93"/>
      <c r="C89" s="93"/>
      <c r="D89" s="93"/>
      <c r="E89" s="93"/>
      <c r="F89" s="93"/>
      <c r="G89" s="93"/>
      <c r="H89" s="93"/>
      <c r="I89" s="93"/>
      <c r="J89" s="93"/>
      <c r="K89" s="93"/>
      <c r="L89" s="93"/>
      <c r="M89" s="93"/>
      <c r="N89" s="93"/>
      <c r="O89" s="93"/>
      <c r="P89" s="93"/>
      <c r="Q89" s="93"/>
      <c r="T89" s="7" t="s">
        <v>102</v>
      </c>
      <c r="U89" s="7">
        <v>761</v>
      </c>
      <c r="V89" s="7">
        <v>953</v>
      </c>
      <c r="W89" s="7">
        <v>878</v>
      </c>
    </row>
    <row r="90" spans="1:23">
      <c r="A90" s="93"/>
      <c r="B90" s="93"/>
      <c r="C90" s="206" t="s">
        <v>157</v>
      </c>
      <c r="D90" s="206"/>
      <c r="E90" s="93"/>
      <c r="F90" s="93"/>
      <c r="G90" s="93"/>
      <c r="H90" s="93">
        <v>4733</v>
      </c>
      <c r="I90" s="93"/>
      <c r="J90" s="93"/>
      <c r="K90" s="93"/>
      <c r="L90" s="93"/>
      <c r="M90" s="93"/>
      <c r="N90" s="93"/>
      <c r="O90" s="93"/>
      <c r="P90" s="93"/>
      <c r="Q90" s="93"/>
      <c r="T90" s="7" t="s">
        <v>106</v>
      </c>
      <c r="U90" s="7" t="s">
        <v>153</v>
      </c>
      <c r="V90" s="7" t="s">
        <v>154</v>
      </c>
      <c r="W90" s="7" t="s">
        <v>155</v>
      </c>
    </row>
    <row r="91" spans="1:23">
      <c r="A91" s="93"/>
      <c r="B91" s="93"/>
      <c r="C91" s="206" t="s">
        <v>158</v>
      </c>
      <c r="D91" s="206"/>
      <c r="E91" s="93"/>
      <c r="F91" s="93"/>
      <c r="G91" s="93"/>
      <c r="H91" s="93">
        <v>1914</v>
      </c>
      <c r="I91" s="93"/>
      <c r="J91" s="93"/>
      <c r="K91" s="93"/>
      <c r="L91" s="93"/>
      <c r="M91" s="93"/>
      <c r="N91" s="93"/>
      <c r="O91" s="93"/>
      <c r="P91" s="93"/>
      <c r="Q91" s="93"/>
      <c r="T91" s="9" t="s">
        <v>110</v>
      </c>
      <c r="U91" s="9"/>
      <c r="V91" s="9"/>
      <c r="W91" s="9"/>
    </row>
    <row r="92" spans="1:23">
      <c r="A92" s="93"/>
      <c r="B92" s="93"/>
      <c r="C92" s="206" t="s">
        <v>159</v>
      </c>
      <c r="D92" s="206"/>
      <c r="E92" s="93"/>
      <c r="F92" s="93"/>
      <c r="G92" s="93"/>
      <c r="H92" s="93">
        <v>766</v>
      </c>
      <c r="I92" s="93"/>
      <c r="J92" s="93"/>
      <c r="K92" s="93"/>
      <c r="L92" s="93"/>
      <c r="M92" s="93"/>
      <c r="N92" s="93"/>
      <c r="O92" s="93"/>
      <c r="P92" s="93"/>
      <c r="Q92" s="93"/>
      <c r="T92" s="9" t="s">
        <v>111</v>
      </c>
      <c r="U92" s="9">
        <v>5</v>
      </c>
      <c r="V92" s="9"/>
      <c r="W92" s="9"/>
    </row>
    <row r="93" spans="1:23">
      <c r="C93" s="5" t="s">
        <v>194</v>
      </c>
      <c r="D93" s="100"/>
      <c r="H93">
        <v>1036</v>
      </c>
      <c r="T93" s="8" t="s">
        <v>112</v>
      </c>
      <c r="U93" s="7"/>
      <c r="V93" s="8">
        <v>393</v>
      </c>
      <c r="W93" s="8">
        <v>258</v>
      </c>
    </row>
    <row r="94" spans="1:23">
      <c r="T94" s="7" t="s">
        <v>115</v>
      </c>
      <c r="U94" s="7"/>
      <c r="V94" s="7">
        <v>393</v>
      </c>
      <c r="W94" s="7">
        <v>258</v>
      </c>
    </row>
    <row r="95" spans="1:23">
      <c r="T95" s="7" t="s">
        <v>116</v>
      </c>
      <c r="U95" s="7"/>
      <c r="V95" s="7"/>
      <c r="W95" s="7"/>
    </row>
    <row r="96" spans="1:23">
      <c r="T96" s="7" t="s">
        <v>117</v>
      </c>
      <c r="U96" s="7"/>
      <c r="V96" s="7"/>
      <c r="W96" s="7"/>
    </row>
  </sheetData>
  <sortState xmlns:xlrd2="http://schemas.microsoft.com/office/spreadsheetml/2017/richdata2" ref="A4:S72">
    <sortCondition ref="A4:A72"/>
    <sortCondition ref="I4:I72"/>
  </sortState>
  <mergeCells count="3">
    <mergeCell ref="T4:T5"/>
    <mergeCell ref="W4:W5"/>
    <mergeCell ref="W86:W87"/>
  </mergeCells>
  <conditionalFormatting sqref="K4:K72">
    <cfRule type="cellIs" dxfId="78" priority="3" operator="greaterThan">
      <formula>0</formula>
    </cfRule>
    <cfRule type="cellIs" dxfId="77" priority="4" operator="lessThan">
      <formula>0</formula>
    </cfRule>
  </conditionalFormatting>
  <conditionalFormatting sqref="L4:L72">
    <cfRule type="cellIs" dxfId="76" priority="1" operator="lessThan">
      <formula>0</formula>
    </cfRule>
    <cfRule type="cellIs" dxfId="75" priority="2" operator="greaterThan">
      <formula>0</formula>
    </cfRule>
  </conditionalFormatting>
  <hyperlinks>
    <hyperlink ref="O1" r:id="rId1" xr:uid="{5831D4C1-A4EB-4944-9DC8-B718A1ECBC7C}"/>
    <hyperlink ref="F2" r:id="rId2" xr:uid="{7D3B5800-370E-A84E-925B-198486F13545}"/>
  </hyperlinks>
  <pageMargins left="0.7" right="0.7" top="0.75" bottom="0.75" header="0.3" footer="0.3"/>
  <drawing r:id="rId3"/>
  <tableParts count="1">
    <tablePart r:id="rId4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D16166-5778-3C45-A79B-AA6FEFE888FC}">
  <dimension ref="A1:AO3023"/>
  <sheetViews>
    <sheetView topLeftCell="B21" zoomScale="151" zoomScaleNormal="151" workbookViewId="0">
      <selection activeCell="R115" sqref="R115"/>
    </sheetView>
  </sheetViews>
  <sheetFormatPr baseColWidth="10" defaultRowHeight="16"/>
  <cols>
    <col min="1" max="1" width="18.5" customWidth="1"/>
    <col min="2" max="2" width="20.5" customWidth="1"/>
    <col min="3" max="3" width="21.33203125" customWidth="1"/>
    <col min="4" max="4" width="17.5" customWidth="1"/>
    <col min="5" max="5" width="15" customWidth="1"/>
    <col min="6" max="6" width="14.83203125" customWidth="1"/>
    <col min="7" max="7" width="13.33203125" customWidth="1"/>
    <col min="8" max="8" width="9.5" customWidth="1"/>
    <col min="9" max="9" width="12.1640625" customWidth="1"/>
    <col min="10" max="10" width="12" customWidth="1"/>
    <col min="11" max="11" width="11.5" customWidth="1"/>
    <col min="12" max="12" width="13" customWidth="1"/>
    <col min="13" max="14" width="9.33203125" customWidth="1"/>
    <col min="15" max="15" width="9.5" style="42" customWidth="1"/>
    <col min="16" max="16" width="8.1640625" customWidth="1"/>
    <col min="17" max="17" width="7.83203125" customWidth="1"/>
    <col min="18" max="18" width="7.5" style="42" customWidth="1"/>
    <col min="19" max="19" width="11.83203125" bestFit="1" customWidth="1"/>
    <col min="20" max="20" width="9.33203125" customWidth="1"/>
    <col min="21" max="21" width="9.6640625" customWidth="1"/>
  </cols>
  <sheetData>
    <row r="1" spans="1:41">
      <c r="A1" s="114"/>
      <c r="B1" s="114"/>
      <c r="C1" s="114"/>
      <c r="D1" s="236">
        <v>2019</v>
      </c>
      <c r="E1" s="237">
        <v>2020</v>
      </c>
      <c r="F1" s="238">
        <v>2021</v>
      </c>
      <c r="G1" s="114">
        <v>2022</v>
      </c>
      <c r="H1" s="114"/>
      <c r="I1" s="236">
        <v>2019</v>
      </c>
      <c r="J1" s="237">
        <v>2020</v>
      </c>
      <c r="K1" s="238">
        <v>2021</v>
      </c>
      <c r="L1" s="114">
        <v>2022</v>
      </c>
      <c r="M1" s="114"/>
      <c r="N1" s="236">
        <v>2019</v>
      </c>
      <c r="O1" s="237">
        <v>2020</v>
      </c>
      <c r="P1" s="238">
        <v>2021</v>
      </c>
      <c r="Q1" s="170">
        <v>2022</v>
      </c>
      <c r="R1" s="236">
        <v>2019</v>
      </c>
      <c r="S1" s="237">
        <v>2020</v>
      </c>
      <c r="T1" s="238">
        <v>2021</v>
      </c>
      <c r="U1" s="114">
        <v>2022</v>
      </c>
      <c r="V1" s="114"/>
      <c r="W1" s="114"/>
      <c r="X1" s="114"/>
      <c r="Y1" s="114"/>
      <c r="Z1" s="114"/>
      <c r="AA1" s="114"/>
      <c r="AB1" s="114"/>
      <c r="AC1" s="114"/>
      <c r="AD1" s="114"/>
      <c r="AE1" s="114"/>
      <c r="AF1" s="114"/>
      <c r="AG1" s="114"/>
      <c r="AH1" s="114"/>
      <c r="AI1" s="114"/>
      <c r="AJ1" s="114"/>
      <c r="AK1" s="114"/>
      <c r="AL1" s="114"/>
      <c r="AM1" s="114"/>
      <c r="AN1" s="114"/>
      <c r="AO1" s="114"/>
    </row>
    <row r="2" spans="1:41" s="243" customFormat="1" ht="127">
      <c r="A2" s="127" t="s">
        <v>392</v>
      </c>
      <c r="B2" s="126" t="s">
        <v>62</v>
      </c>
      <c r="C2" s="126" t="s">
        <v>0</v>
      </c>
      <c r="D2" s="239" t="s">
        <v>394</v>
      </c>
      <c r="E2" s="240" t="s">
        <v>321</v>
      </c>
      <c r="F2" s="241" t="s">
        <v>320</v>
      </c>
      <c r="G2" s="126" t="s">
        <v>395</v>
      </c>
      <c r="H2" s="314" t="s">
        <v>396</v>
      </c>
      <c r="I2" s="239" t="s">
        <v>1</v>
      </c>
      <c r="J2" s="240" t="s">
        <v>260</v>
      </c>
      <c r="K2" s="241" t="s">
        <v>330</v>
      </c>
      <c r="L2" s="315" t="s">
        <v>397</v>
      </c>
      <c r="M2" s="314" t="s">
        <v>398</v>
      </c>
      <c r="N2" s="239" t="s">
        <v>64</v>
      </c>
      <c r="O2" s="240" t="s">
        <v>375</v>
      </c>
      <c r="P2" s="241" t="s">
        <v>399</v>
      </c>
      <c r="Q2" s="315" t="s">
        <v>400</v>
      </c>
      <c r="R2" s="239" t="s">
        <v>195</v>
      </c>
      <c r="S2" s="240" t="s">
        <v>333</v>
      </c>
      <c r="T2" s="241" t="s">
        <v>337</v>
      </c>
      <c r="U2" s="315" t="s">
        <v>401</v>
      </c>
      <c r="V2" s="126" t="s">
        <v>402</v>
      </c>
      <c r="W2" s="126" t="s">
        <v>403</v>
      </c>
      <c r="X2" s="126" t="s">
        <v>307</v>
      </c>
      <c r="Y2" s="126" t="s">
        <v>404</v>
      </c>
      <c r="Z2" s="126" t="s">
        <v>405</v>
      </c>
      <c r="AA2" s="126" t="s">
        <v>406</v>
      </c>
      <c r="AB2" s="242" t="s">
        <v>121</v>
      </c>
      <c r="AC2" s="127"/>
      <c r="AD2" s="127"/>
      <c r="AE2" s="127"/>
      <c r="AF2" s="127"/>
      <c r="AG2" s="127"/>
      <c r="AH2" s="127"/>
      <c r="AI2" s="127"/>
      <c r="AJ2" s="127"/>
      <c r="AK2" s="127"/>
      <c r="AL2" s="127"/>
      <c r="AM2" s="127"/>
      <c r="AN2" s="127"/>
      <c r="AO2" s="127"/>
    </row>
    <row r="3" spans="1:41">
      <c r="A3" s="116" t="s">
        <v>331</v>
      </c>
      <c r="B3" s="313" t="s">
        <v>27</v>
      </c>
      <c r="C3" s="127" t="s">
        <v>65</v>
      </c>
      <c r="D3" s="168">
        <v>36326566</v>
      </c>
      <c r="E3" s="171">
        <v>36334979</v>
      </c>
      <c r="F3" s="169">
        <v>36520323</v>
      </c>
      <c r="G3" s="316">
        <v>36925843</v>
      </c>
      <c r="H3" s="117">
        <f>(EtabRCE7[[#This Row],[masse salariale 2022 affectée par le vote du CNESER du 15/11/2021 (150 et 231) en euros]]-EtabRCE7[[#This Row],[masse salariale 2021 affectée par le vote du CNESER du 24/11/2020 (150 et 231) en euros]])/EtabRCE7[[#This Row],[masse salariale 2021 affectée par le vote du CNESER du 24/11/2020 (150 et 231) en euros]]</f>
        <v>1.1103954365354326E-2</v>
      </c>
      <c r="I3" s="168">
        <v>40067899</v>
      </c>
      <c r="J3" s="171">
        <v>39905578</v>
      </c>
      <c r="K3" s="172">
        <v>40198313</v>
      </c>
      <c r="L3" s="317">
        <v>40569001</v>
      </c>
      <c r="M3" s="117">
        <f>(EtabRCE7[[#This Row],[SCSP notifiées en CP votées par le CNESER en 2021pour 2022]]-EtabRCE7[[#This Row],[SCSP notifiées en CP votées par le CNESER en 2020 pour 2021]])/EtabRCE7[[#This Row],[SCSP notifiées en CP votées par le CNESER en 2020 pour 2021]]</f>
        <v>9.2214815084404166E-3</v>
      </c>
      <c r="N3" s="168">
        <v>747</v>
      </c>
      <c r="O3" s="171">
        <v>746</v>
      </c>
      <c r="P3" s="169">
        <v>746</v>
      </c>
      <c r="Q3" s="169"/>
      <c r="R3" s="318">
        <v>5023</v>
      </c>
      <c r="S3" s="319">
        <v>4064</v>
      </c>
      <c r="T3" s="320">
        <v>3949</v>
      </c>
      <c r="U3" s="205"/>
      <c r="V3" s="118">
        <f>EtabRCE7[[#This Row],[SCSP notifiées en CP votées par le CNESER en 2020 pour 2021]]/EtabRCE7[[#This Row],[étudiants inscrits 2020-2021]]</f>
        <v>10179.36515573563</v>
      </c>
      <c r="W3" s="119">
        <f>EtabRCE7[[#This Row],[ETPT notifiés en 2021 au titre des programmes 150 et 2312]]/EtabRCE7[[#This Row],[étudiants inscrits 2020-2021]]*100</f>
        <v>18.890858445175994</v>
      </c>
      <c r="X3" s="120">
        <f t="shared" ref="X3:X35" si="0">D3/P3</f>
        <v>48695.12868632708</v>
      </c>
      <c r="Y3" s="120"/>
      <c r="Z3" s="120"/>
      <c r="AA3" s="120"/>
      <c r="AB3" s="346"/>
      <c r="AC3" s="313" t="s">
        <v>118</v>
      </c>
      <c r="AD3" s="313" t="s">
        <v>119</v>
      </c>
      <c r="AE3" s="346" t="s">
        <v>120</v>
      </c>
      <c r="AF3" s="114"/>
      <c r="AG3" s="114"/>
      <c r="AH3" s="114"/>
      <c r="AI3" s="114"/>
      <c r="AJ3" s="114"/>
      <c r="AK3" s="114"/>
      <c r="AL3" s="114"/>
      <c r="AM3" s="114"/>
      <c r="AN3" s="114"/>
      <c r="AO3" s="114"/>
    </row>
    <row r="4" spans="1:41" s="376" customFormat="1">
      <c r="A4" s="363" t="s">
        <v>205</v>
      </c>
      <c r="B4" s="364" t="s">
        <v>39</v>
      </c>
      <c r="C4" s="365" t="s">
        <v>66</v>
      </c>
      <c r="D4" s="366">
        <v>16411315</v>
      </c>
      <c r="E4" s="366">
        <v>16984301</v>
      </c>
      <c r="F4" s="366">
        <v>23298289</v>
      </c>
      <c r="G4" s="367">
        <v>23555915</v>
      </c>
      <c r="H4" s="368">
        <f>(EtabRCE7[[#This Row],[masse salariale 2022 affectée par le vote du CNESER du 15/11/2021 (150 et 231) en euros]]-EtabRCE7[[#This Row],[masse salariale 2021 affectée par le vote du CNESER du 24/11/2020 (150 et 231) en euros]])/EtabRCE7[[#This Row],[masse salariale 2021 affectée par le vote du CNESER du 24/11/2020 (150 et 231) en euros]]</f>
        <v>1.1057721878203159E-2</v>
      </c>
      <c r="I4" s="366">
        <v>25430932</v>
      </c>
      <c r="J4" s="366">
        <v>20093354</v>
      </c>
      <c r="K4" s="369">
        <v>26296007</v>
      </c>
      <c r="L4" s="370">
        <v>26646868</v>
      </c>
      <c r="M4" s="368">
        <f>(EtabRCE7[[#This Row],[SCSP notifiées en CP votées par le CNESER en 2021pour 2022]]-EtabRCE7[[#This Row],[SCSP notifiées en CP votées par le CNESER en 2020 pour 2021]])/EtabRCE7[[#This Row],[SCSP notifiées en CP votées par le CNESER en 2020 pour 2021]]</f>
        <v>1.334274819747348E-2</v>
      </c>
      <c r="N4" s="366">
        <v>207</v>
      </c>
      <c r="O4" s="366">
        <v>287</v>
      </c>
      <c r="P4" s="366">
        <v>287</v>
      </c>
      <c r="Q4" s="366"/>
      <c r="R4" s="363">
        <v>1668</v>
      </c>
      <c r="S4" s="371">
        <v>2086</v>
      </c>
      <c r="T4" s="363">
        <v>2144</v>
      </c>
      <c r="U4" s="363"/>
      <c r="V4" s="372">
        <f>EtabRCE7[[#This Row],[SCSP notifiées en CP votées par le CNESER en 2020 pour 2021]]/EtabRCE7[[#This Row],[étudiants inscrits 2020-2021]]</f>
        <v>12264.928638059702</v>
      </c>
      <c r="W4" s="373">
        <f>EtabRCE7[[#This Row],[ETPT notifiés en 2021 au titre des programmes 150 et 2312]]/EtabRCE7[[#This Row],[étudiants inscrits 2020-2021]]*100</f>
        <v>13.386194029850746</v>
      </c>
      <c r="X4" s="374">
        <f t="shared" si="0"/>
        <v>57182.28222996516</v>
      </c>
      <c r="Y4" s="374"/>
      <c r="Z4" s="374"/>
      <c r="AA4" s="374"/>
      <c r="AB4" s="346"/>
      <c r="AC4" s="364">
        <v>-1</v>
      </c>
      <c r="AD4" s="364">
        <v>-2</v>
      </c>
      <c r="AE4" s="346"/>
      <c r="AF4" s="375"/>
      <c r="AG4" s="375"/>
      <c r="AH4" s="375"/>
      <c r="AI4" s="375"/>
      <c r="AJ4" s="375"/>
      <c r="AK4" s="375"/>
      <c r="AL4" s="375"/>
      <c r="AM4" s="375"/>
      <c r="AN4" s="375"/>
      <c r="AO4" s="375"/>
    </row>
    <row r="5" spans="1:41">
      <c r="A5" s="116" t="s">
        <v>205</v>
      </c>
      <c r="B5" s="313" t="s">
        <v>8</v>
      </c>
      <c r="C5" s="127" t="s">
        <v>67</v>
      </c>
      <c r="D5" s="168">
        <v>22651992</v>
      </c>
      <c r="E5" s="171">
        <v>22744792</v>
      </c>
      <c r="F5" s="169">
        <v>32323423</v>
      </c>
      <c r="G5" s="316">
        <v>32862418</v>
      </c>
      <c r="H5" s="117">
        <f>(EtabRCE7[[#This Row],[masse salariale 2022 affectée par le vote du CNESER du 15/11/2021 (150 et 231) en euros]]-EtabRCE7[[#This Row],[masse salariale 2021 affectée par le vote du CNESER du 24/11/2020 (150 et 231) en euros]])/EtabRCE7[[#This Row],[masse salariale 2021 affectée par le vote du CNESER du 24/11/2020 (150 et 231) en euros]]</f>
        <v>1.667505944528214E-2</v>
      </c>
      <c r="I5" s="168">
        <v>14983204</v>
      </c>
      <c r="J5" s="171">
        <v>25718682</v>
      </c>
      <c r="K5" s="172">
        <v>36533451</v>
      </c>
      <c r="L5" s="317">
        <v>37220900</v>
      </c>
      <c r="M5" s="117">
        <f>(EtabRCE7[[#This Row],[SCSP notifiées en CP votées par le CNESER en 2021pour 2022]]-EtabRCE7[[#This Row],[SCSP notifiées en CP votées par le CNESER en 2020 pour 2021]])/EtabRCE7[[#This Row],[SCSP notifiées en CP votées par le CNESER en 2020 pour 2021]]</f>
        <v>1.8816974065767836E-2</v>
      </c>
      <c r="N5" s="168">
        <v>331</v>
      </c>
      <c r="O5" s="171">
        <v>331</v>
      </c>
      <c r="P5" s="169">
        <v>331</v>
      </c>
      <c r="Q5" s="169"/>
      <c r="R5" s="318">
        <v>1876</v>
      </c>
      <c r="S5" s="319">
        <v>1842</v>
      </c>
      <c r="T5" s="320">
        <v>2912</v>
      </c>
      <c r="U5" s="320"/>
      <c r="V5" s="118">
        <f>EtabRCE7[[#This Row],[SCSP notifiées en CP votées par le CNESER en 2020 pour 2021]]/EtabRCE7[[#This Row],[étudiants inscrits 2020-2021]]</f>
        <v>12545.827953296703</v>
      </c>
      <c r="W5" s="119">
        <f>EtabRCE7[[#This Row],[ETPT notifiés en 2021 au titre des programmes 150 et 2312]]/EtabRCE7[[#This Row],[étudiants inscrits 2020-2021]]*100</f>
        <v>11.366758241758241</v>
      </c>
      <c r="X5" s="120">
        <f t="shared" si="0"/>
        <v>68435.021148036249</v>
      </c>
      <c r="Y5" s="120"/>
      <c r="Z5" s="120"/>
      <c r="AA5" s="120"/>
      <c r="AB5" s="121" t="s">
        <v>98</v>
      </c>
      <c r="AC5" s="121" t="s">
        <v>122</v>
      </c>
      <c r="AD5" s="121" t="s">
        <v>123</v>
      </c>
      <c r="AE5" s="121" t="s">
        <v>124</v>
      </c>
      <c r="AF5" s="114"/>
      <c r="AG5" s="114"/>
      <c r="AH5" s="114"/>
      <c r="AI5" s="114"/>
      <c r="AJ5" s="114"/>
      <c r="AK5" s="114"/>
      <c r="AL5" s="114"/>
      <c r="AM5" s="114"/>
      <c r="AN5" s="114"/>
      <c r="AO5" s="114"/>
    </row>
    <row r="6" spans="1:41" s="376" customFormat="1">
      <c r="A6" s="363" t="s">
        <v>205</v>
      </c>
      <c r="B6" s="364" t="s">
        <v>68</v>
      </c>
      <c r="C6" s="365" t="s">
        <v>69</v>
      </c>
      <c r="D6" s="366">
        <v>12781257</v>
      </c>
      <c r="E6" s="366">
        <v>12823232</v>
      </c>
      <c r="F6" s="366">
        <v>12893406</v>
      </c>
      <c r="G6" s="367">
        <v>13012774</v>
      </c>
      <c r="H6" s="368">
        <f>(EtabRCE7[[#This Row],[masse salariale 2022 affectée par le vote du CNESER du 15/11/2021 (150 et 231) en euros]]-EtabRCE7[[#This Row],[masse salariale 2021 affectée par le vote du CNESER du 24/11/2020 (150 et 231) en euros]])/EtabRCE7[[#This Row],[masse salariale 2021 affectée par le vote du CNESER du 24/11/2020 (150 et 231) en euros]]</f>
        <v>9.2580657120391614E-3</v>
      </c>
      <c r="I6" s="366">
        <v>18039277</v>
      </c>
      <c r="J6" s="366">
        <v>14551582</v>
      </c>
      <c r="K6" s="369">
        <v>14715746</v>
      </c>
      <c r="L6" s="370">
        <v>14841416</v>
      </c>
      <c r="M6" s="368">
        <f>(EtabRCE7[[#This Row],[SCSP notifiées en CP votées par le CNESER en 2021pour 2022]]-EtabRCE7[[#This Row],[SCSP notifiées en CP votées par le CNESER en 2020 pour 2021]])/EtabRCE7[[#This Row],[SCSP notifiées en CP votées par le CNESER en 2020 pour 2021]]</f>
        <v>8.5398320954982506E-3</v>
      </c>
      <c r="N6" s="366">
        <v>163</v>
      </c>
      <c r="O6" s="366">
        <v>163</v>
      </c>
      <c r="P6" s="366">
        <v>163</v>
      </c>
      <c r="Q6" s="366"/>
      <c r="R6" s="363">
        <v>1111</v>
      </c>
      <c r="S6" s="371">
        <v>1127</v>
      </c>
      <c r="T6" s="363">
        <v>1155</v>
      </c>
      <c r="U6" s="363"/>
      <c r="V6" s="372">
        <f>EtabRCE7[[#This Row],[SCSP notifiées en CP votées par le CNESER en 2020 pour 2021]]/EtabRCE7[[#This Row],[étudiants inscrits 2020-2021]]</f>
        <v>12740.905627705628</v>
      </c>
      <c r="W6" s="373">
        <f>EtabRCE7[[#This Row],[ETPT notifiés en 2021 au titre des programmes 150 et 2312]]/EtabRCE7[[#This Row],[étudiants inscrits 2020-2021]]*100</f>
        <v>14.112554112554113</v>
      </c>
      <c r="X6" s="374">
        <f t="shared" si="0"/>
        <v>78412.619631901835</v>
      </c>
      <c r="Y6" s="374"/>
      <c r="Z6" s="374"/>
      <c r="AA6" s="374"/>
      <c r="AB6" s="364" t="s">
        <v>102</v>
      </c>
      <c r="AC6" s="364" t="s">
        <v>125</v>
      </c>
      <c r="AD6" s="364" t="s">
        <v>126</v>
      </c>
      <c r="AE6" s="364" t="s">
        <v>127</v>
      </c>
      <c r="AF6" s="375"/>
      <c r="AG6" s="375"/>
      <c r="AH6" s="375"/>
      <c r="AI6" s="375"/>
      <c r="AJ6" s="375"/>
      <c r="AK6" s="375"/>
      <c r="AL6" s="375"/>
      <c r="AM6" s="375"/>
      <c r="AN6" s="375"/>
      <c r="AO6" s="375"/>
    </row>
    <row r="7" spans="1:41">
      <c r="A7" s="116" t="s">
        <v>205</v>
      </c>
      <c r="B7" s="313" t="s">
        <v>4</v>
      </c>
      <c r="C7" s="127" t="s">
        <v>70</v>
      </c>
      <c r="D7" s="168">
        <v>19409441</v>
      </c>
      <c r="E7" s="171">
        <v>19444059</v>
      </c>
      <c r="F7" s="169">
        <v>19556532</v>
      </c>
      <c r="G7" s="316">
        <v>19880391</v>
      </c>
      <c r="H7" s="117">
        <f>(EtabRCE7[[#This Row],[masse salariale 2022 affectée par le vote du CNESER du 15/11/2021 (150 et 231) en euros]]-EtabRCE7[[#This Row],[masse salariale 2021 affectée par le vote du CNESER du 24/11/2020 (150 et 231) en euros]])/EtabRCE7[[#This Row],[masse salariale 2021 affectée par le vote du CNESER du 24/11/2020 (150 et 231) en euros]]</f>
        <v>1.6560144712774227E-2</v>
      </c>
      <c r="I7" s="168">
        <v>21997450</v>
      </c>
      <c r="J7" s="171">
        <v>21937343</v>
      </c>
      <c r="K7" s="172">
        <v>22086594</v>
      </c>
      <c r="L7" s="317">
        <v>22488647</v>
      </c>
      <c r="M7" s="117">
        <f>(EtabRCE7[[#This Row],[SCSP notifiées en CP votées par le CNESER en 2021pour 2022]]-EtabRCE7[[#This Row],[SCSP notifiées en CP votées par le CNESER en 2020 pour 2021]])/EtabRCE7[[#This Row],[SCSP notifiées en CP votées par le CNESER en 2020 pour 2021]]</f>
        <v>1.8203485788709658E-2</v>
      </c>
      <c r="N7" s="168">
        <v>276</v>
      </c>
      <c r="O7" s="171">
        <v>275</v>
      </c>
      <c r="P7" s="169">
        <v>275</v>
      </c>
      <c r="Q7" s="169"/>
      <c r="R7" s="318">
        <v>2403</v>
      </c>
      <c r="S7" s="319">
        <v>2381</v>
      </c>
      <c r="T7" s="320">
        <v>2332</v>
      </c>
      <c r="U7" s="320"/>
      <c r="V7" s="118">
        <f>EtabRCE7[[#This Row],[SCSP notifiées en CP votées par le CNESER en 2020 pour 2021]]/EtabRCE7[[#This Row],[étudiants inscrits 2020-2021]]</f>
        <v>9471.095197255574</v>
      </c>
      <c r="W7" s="119">
        <f>EtabRCE7[[#This Row],[ETPT notifiés en 2021 au titre des programmes 150 et 2312]]/EtabRCE7[[#This Row],[étudiants inscrits 2020-2021]]*100</f>
        <v>11.79245283018868</v>
      </c>
      <c r="X7" s="120">
        <f t="shared" si="0"/>
        <v>70579.785454545461</v>
      </c>
      <c r="Y7" s="120"/>
      <c r="Z7" s="120"/>
      <c r="AA7" s="120"/>
      <c r="AB7" s="313" t="s">
        <v>106</v>
      </c>
      <c r="AC7" s="313" t="s">
        <v>128</v>
      </c>
      <c r="AD7" s="313" t="s">
        <v>129</v>
      </c>
      <c r="AE7" s="313" t="s">
        <v>130</v>
      </c>
      <c r="AF7" s="114"/>
      <c r="AG7" s="114"/>
      <c r="AH7" s="114"/>
      <c r="AI7" s="114"/>
      <c r="AJ7" s="114"/>
      <c r="AK7" s="114"/>
      <c r="AL7" s="114"/>
      <c r="AM7" s="114"/>
      <c r="AN7" s="114"/>
      <c r="AO7" s="114"/>
    </row>
    <row r="8" spans="1:41" s="376" customFormat="1">
      <c r="A8" s="363" t="s">
        <v>205</v>
      </c>
      <c r="B8" s="364" t="s">
        <v>4</v>
      </c>
      <c r="C8" s="365" t="s">
        <v>71</v>
      </c>
      <c r="D8" s="366">
        <v>11481511</v>
      </c>
      <c r="E8" s="366">
        <v>11527261</v>
      </c>
      <c r="F8" s="366">
        <v>11609618</v>
      </c>
      <c r="G8" s="367">
        <v>11740153</v>
      </c>
      <c r="H8" s="368">
        <f>(EtabRCE7[[#This Row],[masse salariale 2022 affectée par le vote du CNESER du 15/11/2021 (150 et 231) en euros]]-EtabRCE7[[#This Row],[masse salariale 2021 affectée par le vote du CNESER du 24/11/2020 (150 et 231) en euros]])/EtabRCE7[[#This Row],[masse salariale 2021 affectée par le vote du CNESER du 24/11/2020 (150 et 231) en euros]]</f>
        <v>1.1243694667645396E-2</v>
      </c>
      <c r="I8" s="366">
        <v>5781283</v>
      </c>
      <c r="J8" s="366">
        <v>13763988</v>
      </c>
      <c r="K8" s="369">
        <v>13945385</v>
      </c>
      <c r="L8" s="370">
        <v>14045284</v>
      </c>
      <c r="M8" s="368">
        <f>(EtabRCE7[[#This Row],[SCSP notifiées en CP votées par le CNESER en 2021pour 2022]]-EtabRCE7[[#This Row],[SCSP notifiées en CP votées par le CNESER en 2020 pour 2021]])/EtabRCE7[[#This Row],[SCSP notifiées en CP votées par le CNESER en 2020 pour 2021]]</f>
        <v>7.1635885276742093E-3</v>
      </c>
      <c r="N8" s="366">
        <v>153</v>
      </c>
      <c r="O8" s="366">
        <v>153</v>
      </c>
      <c r="P8" s="366">
        <v>153</v>
      </c>
      <c r="Q8" s="366"/>
      <c r="R8" s="363">
        <v>1194</v>
      </c>
      <c r="S8" s="371">
        <v>1163</v>
      </c>
      <c r="T8" s="363">
        <v>1174</v>
      </c>
      <c r="U8" s="363"/>
      <c r="V8" s="372">
        <f>EtabRCE7[[#This Row],[SCSP notifiées en CP votées par le CNESER en 2020 pour 2021]]/EtabRCE7[[#This Row],[étudiants inscrits 2020-2021]]</f>
        <v>11878.522146507667</v>
      </c>
      <c r="W8" s="373">
        <f>EtabRCE7[[#This Row],[ETPT notifiés en 2021 au titre des programmes 150 et 2312]]/EtabRCE7[[#This Row],[étudiants inscrits 2020-2021]]*100</f>
        <v>13.032367972742758</v>
      </c>
      <c r="X8" s="374">
        <f t="shared" si="0"/>
        <v>75042.555555555562</v>
      </c>
      <c r="Y8" s="374"/>
      <c r="Z8" s="374"/>
      <c r="AA8" s="374"/>
      <c r="AB8" s="377" t="s">
        <v>110</v>
      </c>
      <c r="AC8" s="377">
        <v>14</v>
      </c>
      <c r="AD8" s="377">
        <v>18</v>
      </c>
      <c r="AE8" s="377">
        <v>8</v>
      </c>
      <c r="AF8" s="375"/>
      <c r="AG8" s="375"/>
      <c r="AH8" s="375"/>
      <c r="AI8" s="375"/>
      <c r="AJ8" s="375"/>
      <c r="AK8" s="375"/>
      <c r="AL8" s="375"/>
      <c r="AM8" s="375"/>
      <c r="AN8" s="375"/>
      <c r="AO8" s="375"/>
    </row>
    <row r="9" spans="1:41">
      <c r="A9" s="116" t="s">
        <v>331</v>
      </c>
      <c r="B9" s="313" t="s">
        <v>27</v>
      </c>
      <c r="C9" s="127" t="s">
        <v>72</v>
      </c>
      <c r="D9" s="168">
        <v>63340507</v>
      </c>
      <c r="E9" s="171">
        <v>63550265</v>
      </c>
      <c r="F9" s="169">
        <v>63924555</v>
      </c>
      <c r="G9" s="316">
        <v>64739035</v>
      </c>
      <c r="H9" s="117">
        <f>(EtabRCE7[[#This Row],[masse salariale 2022 affectée par le vote du CNESER du 15/11/2021 (150 et 231) en euros]]-EtabRCE7[[#This Row],[masse salariale 2021 affectée par le vote du CNESER du 24/11/2020 (150 et 231) en euros]])/EtabRCE7[[#This Row],[masse salariale 2021 affectée par le vote du CNESER du 24/11/2020 (150 et 231) en euros]]</f>
        <v>1.2741269767149729E-2</v>
      </c>
      <c r="I9" s="168">
        <v>29015995</v>
      </c>
      <c r="J9" s="171">
        <v>72430554</v>
      </c>
      <c r="K9" s="172">
        <v>73064391</v>
      </c>
      <c r="L9" s="317">
        <v>73798871</v>
      </c>
      <c r="M9" s="117">
        <f>(EtabRCE7[[#This Row],[SCSP notifiées en CP votées par le CNESER en 2021pour 2022]]-EtabRCE7[[#This Row],[SCSP notifiées en CP votées par le CNESER en 2020 pour 2021]])/EtabRCE7[[#This Row],[SCSP notifiées en CP votées par le CNESER en 2020 pour 2021]]</f>
        <v>1.0052502866957448E-2</v>
      </c>
      <c r="N9" s="168">
        <v>986</v>
      </c>
      <c r="O9" s="171">
        <v>985</v>
      </c>
      <c r="P9" s="169">
        <v>985</v>
      </c>
      <c r="Q9" s="169"/>
      <c r="R9" s="318">
        <v>5925</v>
      </c>
      <c r="S9" s="319">
        <v>6030</v>
      </c>
      <c r="T9" s="320">
        <v>6055</v>
      </c>
      <c r="U9" s="320"/>
      <c r="V9" s="118">
        <f>EtabRCE7[[#This Row],[SCSP notifiées en CP votées par le CNESER en 2020 pour 2021]]/EtabRCE7[[#This Row],[étudiants inscrits 2020-2021]]</f>
        <v>12066.786292320396</v>
      </c>
      <c r="W9" s="119">
        <f>EtabRCE7[[#This Row],[ETPT notifiés en 2021 au titre des programmes 150 et 2312]]/EtabRCE7[[#This Row],[étudiants inscrits 2020-2021]]*100</f>
        <v>16.267547481420312</v>
      </c>
      <c r="X9" s="120">
        <f t="shared" si="0"/>
        <v>64305.083248730967</v>
      </c>
      <c r="Y9" s="120"/>
      <c r="Z9" s="120"/>
      <c r="AA9" s="120"/>
      <c r="AB9" s="122" t="s">
        <v>111</v>
      </c>
      <c r="AC9" s="122">
        <v>33</v>
      </c>
      <c r="AD9" s="122"/>
      <c r="AE9" s="122">
        <v>33</v>
      </c>
      <c r="AF9" s="114"/>
      <c r="AG9" s="114"/>
      <c r="AH9" s="114"/>
      <c r="AI9" s="114"/>
      <c r="AJ9" s="114"/>
      <c r="AK9" s="114"/>
      <c r="AL9" s="114"/>
      <c r="AM9" s="114"/>
      <c r="AN9" s="114"/>
      <c r="AO9" s="114"/>
    </row>
    <row r="10" spans="1:41" s="376" customFormat="1">
      <c r="A10" s="363" t="s">
        <v>205</v>
      </c>
      <c r="B10" s="364" t="s">
        <v>4</v>
      </c>
      <c r="C10" s="365" t="s">
        <v>73</v>
      </c>
      <c r="D10" s="366">
        <v>7782672</v>
      </c>
      <c r="E10" s="366">
        <v>7895425</v>
      </c>
      <c r="F10" s="366">
        <v>8030814</v>
      </c>
      <c r="G10" s="378">
        <v>8131942</v>
      </c>
      <c r="H10" s="368">
        <f>(EtabRCE7[[#This Row],[masse salariale 2022 affectée par le vote du CNESER du 15/11/2021 (150 et 231) en euros]]-EtabRCE7[[#This Row],[masse salariale 2021 affectée par le vote du CNESER du 24/11/2020 (150 et 231) en euros]])/EtabRCE7[[#This Row],[masse salariale 2021 affectée par le vote du CNESER du 24/11/2020 (150 et 231) en euros]]</f>
        <v>1.2592496850257023E-2</v>
      </c>
      <c r="I10" s="366">
        <v>18488996</v>
      </c>
      <c r="J10" s="366">
        <v>9124010</v>
      </c>
      <c r="K10" s="369">
        <v>9251505</v>
      </c>
      <c r="L10" s="370">
        <v>9366572</v>
      </c>
      <c r="M10" s="368">
        <f>(EtabRCE7[[#This Row],[SCSP notifiées en CP votées par le CNESER en 2021pour 2022]]-EtabRCE7[[#This Row],[SCSP notifiées en CP votées par le CNESER en 2020 pour 2021]])/EtabRCE7[[#This Row],[SCSP notifiées en CP votées par le CNESER en 2020 pour 2021]]</f>
        <v>1.243765203607413E-2</v>
      </c>
      <c r="N10" s="366">
        <v>120</v>
      </c>
      <c r="O10" s="366">
        <v>121</v>
      </c>
      <c r="P10" s="366">
        <v>121</v>
      </c>
      <c r="Q10" s="366"/>
      <c r="R10" s="363">
        <v>454</v>
      </c>
      <c r="S10" s="371">
        <v>446</v>
      </c>
      <c r="T10" s="363">
        <v>469</v>
      </c>
      <c r="U10" s="363"/>
      <c r="V10" s="372">
        <f>EtabRCE7[[#This Row],[SCSP notifiées en CP votées par le CNESER en 2020 pour 2021]]/EtabRCE7[[#This Row],[étudiants inscrits 2020-2021]]</f>
        <v>19726.023454157781</v>
      </c>
      <c r="W10" s="373">
        <f>EtabRCE7[[#This Row],[ETPT notifiés en 2021 au titre des programmes 150 et 2312]]/EtabRCE7[[#This Row],[étudiants inscrits 2020-2021]]*100</f>
        <v>25.799573560767591</v>
      </c>
      <c r="X10" s="374">
        <f t="shared" si="0"/>
        <v>64319.603305785124</v>
      </c>
      <c r="Y10" s="374"/>
      <c r="Z10" s="374"/>
      <c r="AA10" s="374"/>
      <c r="AB10" s="379" t="s">
        <v>112</v>
      </c>
      <c r="AC10" s="364"/>
      <c r="AD10" s="379" t="s">
        <v>131</v>
      </c>
      <c r="AE10" s="379" t="s">
        <v>132</v>
      </c>
      <c r="AF10" s="375"/>
      <c r="AG10" s="375"/>
      <c r="AH10" s="375"/>
      <c r="AI10" s="375"/>
      <c r="AJ10" s="375"/>
      <c r="AK10" s="375"/>
      <c r="AL10" s="375"/>
      <c r="AM10" s="375"/>
      <c r="AN10" s="375"/>
      <c r="AO10" s="375"/>
    </row>
    <row r="11" spans="1:41">
      <c r="A11" s="116" t="s">
        <v>205</v>
      </c>
      <c r="B11" s="313" t="s">
        <v>4</v>
      </c>
      <c r="C11" s="127" t="s">
        <v>74</v>
      </c>
      <c r="D11" s="168">
        <v>8279689</v>
      </c>
      <c r="E11" s="171">
        <v>8306095</v>
      </c>
      <c r="F11" s="169">
        <v>8362889</v>
      </c>
      <c r="G11" s="321">
        <v>8482885</v>
      </c>
      <c r="H11" s="117">
        <f>(EtabRCE7[[#This Row],[masse salariale 2022 affectée par le vote du CNESER du 15/11/2021 (150 et 231) en euros]]-EtabRCE7[[#This Row],[masse salariale 2021 affectée par le vote du CNESER du 24/11/2020 (150 et 231) en euros]])/EtabRCE7[[#This Row],[masse salariale 2021 affectée par le vote du CNESER du 24/11/2020 (150 et 231) en euros]]</f>
        <v>1.4348630000948237E-2</v>
      </c>
      <c r="I11" s="168">
        <v>47891817</v>
      </c>
      <c r="J11" s="171">
        <v>10573018</v>
      </c>
      <c r="K11" s="172">
        <v>10252408</v>
      </c>
      <c r="L11" s="317">
        <v>10079079</v>
      </c>
      <c r="M11" s="117">
        <f>(EtabRCE7[[#This Row],[SCSP notifiées en CP votées par le CNESER en 2021pour 2022]]-EtabRCE7[[#This Row],[SCSP notifiées en CP votées par le CNESER en 2020 pour 2021]])/EtabRCE7[[#This Row],[SCSP notifiées en CP votées par le CNESER en 2020 pour 2021]]</f>
        <v>-1.690617462746313E-2</v>
      </c>
      <c r="N11" s="168">
        <v>125</v>
      </c>
      <c r="O11" s="171">
        <v>125</v>
      </c>
      <c r="P11" s="169">
        <v>125</v>
      </c>
      <c r="Q11" s="169"/>
      <c r="R11" s="318">
        <v>430</v>
      </c>
      <c r="S11" s="319">
        <v>508</v>
      </c>
      <c r="T11" s="320">
        <v>505</v>
      </c>
      <c r="U11" s="320"/>
      <c r="V11" s="118">
        <f>EtabRCE7[[#This Row],[SCSP notifiées en CP votées par le CNESER en 2020 pour 2021]]/EtabRCE7[[#This Row],[étudiants inscrits 2020-2021]]</f>
        <v>20301.79801980198</v>
      </c>
      <c r="W11" s="119">
        <f>EtabRCE7[[#This Row],[ETPT notifiés en 2021 au titre des programmes 150 et 2312]]/EtabRCE7[[#This Row],[étudiants inscrits 2020-2021]]*100</f>
        <v>24.752475247524753</v>
      </c>
      <c r="X11" s="120">
        <f t="shared" si="0"/>
        <v>66237.512000000002</v>
      </c>
      <c r="Y11" s="120"/>
      <c r="Z11" s="120"/>
      <c r="AA11" s="120"/>
      <c r="AB11" s="313" t="s">
        <v>115</v>
      </c>
      <c r="AC11" s="313"/>
      <c r="AD11" s="313" t="s">
        <v>131</v>
      </c>
      <c r="AE11" s="313" t="s">
        <v>132</v>
      </c>
      <c r="AF11" s="114"/>
      <c r="AG11" s="114"/>
      <c r="AH11" s="114"/>
      <c r="AI11" s="114"/>
      <c r="AJ11" s="114"/>
      <c r="AK11" s="114"/>
      <c r="AL11" s="114"/>
      <c r="AM11" s="114"/>
      <c r="AN11" s="114"/>
      <c r="AO11" s="114"/>
    </row>
    <row r="12" spans="1:41" s="376" customFormat="1">
      <c r="A12" s="363" t="s">
        <v>205</v>
      </c>
      <c r="B12" s="364" t="s">
        <v>27</v>
      </c>
      <c r="C12" s="365" t="s">
        <v>75</v>
      </c>
      <c r="D12" s="366">
        <v>6061627</v>
      </c>
      <c r="E12" s="366">
        <v>6147692</v>
      </c>
      <c r="F12" s="366">
        <v>6232433</v>
      </c>
      <c r="G12" s="378">
        <v>6391452</v>
      </c>
      <c r="H12" s="368">
        <f>(EtabRCE7[[#This Row],[masse salariale 2022 affectée par le vote du CNESER du 15/11/2021 (150 et 231) en euros]]-EtabRCE7[[#This Row],[masse salariale 2021 affectée par le vote du CNESER du 24/11/2020 (150 et 231) en euros]])/EtabRCE7[[#This Row],[masse salariale 2021 affectée par le vote du CNESER du 24/11/2020 (150 et 231) en euros]]</f>
        <v>2.5514754831700556E-2</v>
      </c>
      <c r="I12" s="366">
        <v>13774125</v>
      </c>
      <c r="J12" s="366">
        <v>7081481</v>
      </c>
      <c r="K12" s="369">
        <v>7173409</v>
      </c>
      <c r="L12" s="370">
        <v>7339434</v>
      </c>
      <c r="M12" s="368">
        <f>(EtabRCE7[[#This Row],[SCSP notifiées en CP votées par le CNESER en 2021pour 2022]]-EtabRCE7[[#This Row],[SCSP notifiées en CP votées par le CNESER en 2020 pour 2021]])/EtabRCE7[[#This Row],[SCSP notifiées en CP votées par le CNESER en 2020 pour 2021]]</f>
        <v>2.314450493482248E-2</v>
      </c>
      <c r="N12" s="366">
        <v>79</v>
      </c>
      <c r="O12" s="366">
        <v>79</v>
      </c>
      <c r="P12" s="366">
        <v>79</v>
      </c>
      <c r="Q12" s="366"/>
      <c r="R12" s="363">
        <v>483</v>
      </c>
      <c r="S12" s="371">
        <v>485</v>
      </c>
      <c r="T12" s="363">
        <v>501</v>
      </c>
      <c r="U12" s="363"/>
      <c r="V12" s="372">
        <f>EtabRCE7[[#This Row],[SCSP notifiées en CP votées par le CNESER en 2020 pour 2021]]/EtabRCE7[[#This Row],[étudiants inscrits 2020-2021]]</f>
        <v>14318.181636726547</v>
      </c>
      <c r="W12" s="373">
        <f>EtabRCE7[[#This Row],[ETPT notifiés en 2021 au titre des programmes 150 et 2312]]/EtabRCE7[[#This Row],[étudiants inscrits 2020-2021]]*100</f>
        <v>15.768463073852296</v>
      </c>
      <c r="X12" s="374">
        <f t="shared" si="0"/>
        <v>76729.455696202538</v>
      </c>
      <c r="Y12" s="374"/>
      <c r="Z12" s="374"/>
      <c r="AA12" s="374"/>
      <c r="AB12" s="364" t="s">
        <v>116</v>
      </c>
      <c r="AC12" s="364"/>
      <c r="AD12" s="364"/>
      <c r="AE12" s="364"/>
      <c r="AF12" s="375"/>
      <c r="AG12" s="375"/>
      <c r="AH12" s="375"/>
      <c r="AI12" s="375"/>
      <c r="AJ12" s="375"/>
      <c r="AK12" s="375"/>
      <c r="AL12" s="375"/>
      <c r="AM12" s="375"/>
      <c r="AN12" s="375"/>
      <c r="AO12" s="375"/>
    </row>
    <row r="13" spans="1:41">
      <c r="A13" s="116" t="s">
        <v>205</v>
      </c>
      <c r="B13" s="313" t="s">
        <v>39</v>
      </c>
      <c r="C13" s="127" t="s">
        <v>76</v>
      </c>
      <c r="D13" s="168">
        <v>9602165</v>
      </c>
      <c r="E13" s="171">
        <v>9637881</v>
      </c>
      <c r="F13" s="169">
        <v>9700887</v>
      </c>
      <c r="G13" s="321">
        <v>9812606</v>
      </c>
      <c r="H13" s="117">
        <f>(EtabRCE7[[#This Row],[masse salariale 2022 affectée par le vote du CNESER du 15/11/2021 (150 et 231) en euros]]-EtabRCE7[[#This Row],[masse salariale 2021 affectée par le vote du CNESER du 24/11/2020 (150 et 231) en euros]])/EtabRCE7[[#This Row],[masse salariale 2021 affectée par le vote du CNESER du 24/11/2020 (150 et 231) en euros]]</f>
        <v>1.1516369585585318E-2</v>
      </c>
      <c r="I13" s="168">
        <v>72493142</v>
      </c>
      <c r="J13" s="171">
        <v>12283339</v>
      </c>
      <c r="K13" s="172">
        <v>12163406</v>
      </c>
      <c r="L13" s="317">
        <v>12290129</v>
      </c>
      <c r="M13" s="117">
        <f>(EtabRCE7[[#This Row],[SCSP notifiées en CP votées par le CNESER en 2021pour 2022]]-EtabRCE7[[#This Row],[SCSP notifiées en CP votées par le CNESER en 2020 pour 2021]])/EtabRCE7[[#This Row],[SCSP notifiées en CP votées par le CNESER en 2020 pour 2021]]</f>
        <v>1.0418381167248712E-2</v>
      </c>
      <c r="N13" s="168">
        <v>133</v>
      </c>
      <c r="O13" s="171">
        <v>133</v>
      </c>
      <c r="P13" s="169">
        <v>133</v>
      </c>
      <c r="Q13" s="169"/>
      <c r="R13" s="318">
        <v>751</v>
      </c>
      <c r="S13" s="319">
        <v>785</v>
      </c>
      <c r="T13" s="320">
        <v>796</v>
      </c>
      <c r="U13" s="320"/>
      <c r="V13" s="118">
        <f>EtabRCE7[[#This Row],[SCSP notifiées en CP votées par le CNESER en 2020 pour 2021]]/EtabRCE7[[#This Row],[étudiants inscrits 2020-2021]]</f>
        <v>15280.660804020101</v>
      </c>
      <c r="W13" s="119">
        <f>EtabRCE7[[#This Row],[ETPT notifiés en 2021 au titre des programmes 150 et 2312]]/EtabRCE7[[#This Row],[étudiants inscrits 2020-2021]]*100</f>
        <v>16.708542713567841</v>
      </c>
      <c r="X13" s="120">
        <f t="shared" si="0"/>
        <v>72196.729323308275</v>
      </c>
      <c r="Y13" s="120"/>
      <c r="Z13" s="120"/>
      <c r="AA13" s="120"/>
      <c r="AB13" s="313" t="s">
        <v>117</v>
      </c>
      <c r="AC13" s="313"/>
      <c r="AD13" s="313"/>
      <c r="AE13" s="313"/>
      <c r="AF13" s="114"/>
      <c r="AG13" s="114"/>
      <c r="AH13" s="114"/>
      <c r="AI13" s="114"/>
      <c r="AJ13" s="114"/>
      <c r="AK13" s="114"/>
      <c r="AL13" s="114"/>
      <c r="AM13" s="114"/>
      <c r="AN13" s="114"/>
      <c r="AO13" s="114"/>
    </row>
    <row r="14" spans="1:41" s="376" customFormat="1">
      <c r="A14" s="363" t="s">
        <v>205</v>
      </c>
      <c r="B14" s="364" t="s">
        <v>27</v>
      </c>
      <c r="C14" s="365" t="s">
        <v>77</v>
      </c>
      <c r="D14" s="366">
        <v>4377876</v>
      </c>
      <c r="E14" s="366">
        <v>4389635</v>
      </c>
      <c r="F14" s="366">
        <v>4412403</v>
      </c>
      <c r="G14" s="378">
        <v>4471418</v>
      </c>
      <c r="H14" s="368">
        <f>(EtabRCE7[[#This Row],[masse salariale 2022 affectée par le vote du CNESER du 15/11/2021 (150 et 231) en euros]]-EtabRCE7[[#This Row],[masse salariale 2021 affectée par le vote du CNESER du 24/11/2020 (150 et 231) en euros]])/EtabRCE7[[#This Row],[masse salariale 2021 affectée par le vote du CNESER du 24/11/2020 (150 et 231) en euros]]</f>
        <v>1.3374798267519989E-2</v>
      </c>
      <c r="I14" s="366">
        <v>24719369</v>
      </c>
      <c r="J14" s="366">
        <v>5700708</v>
      </c>
      <c r="K14" s="369">
        <v>5691456</v>
      </c>
      <c r="L14" s="370">
        <v>5804974</v>
      </c>
      <c r="M14" s="368">
        <f>(EtabRCE7[[#This Row],[SCSP notifiées en CP votées par le CNESER en 2021pour 2022]]-EtabRCE7[[#This Row],[SCSP notifiées en CP votées par le CNESER en 2020 pour 2021]])/EtabRCE7[[#This Row],[SCSP notifiées en CP votées par le CNESER en 2020 pour 2021]]</f>
        <v>1.994533560480833E-2</v>
      </c>
      <c r="N14" s="366">
        <v>55</v>
      </c>
      <c r="O14" s="366">
        <v>55</v>
      </c>
      <c r="P14" s="366">
        <v>55</v>
      </c>
      <c r="Q14" s="366"/>
      <c r="R14" s="363">
        <v>541</v>
      </c>
      <c r="S14" s="371">
        <v>522</v>
      </c>
      <c r="T14" s="363">
        <v>534</v>
      </c>
      <c r="U14" s="363"/>
      <c r="V14" s="372">
        <f>EtabRCE7[[#This Row],[SCSP notifiées en CP votées par le CNESER en 2020 pour 2021]]/EtabRCE7[[#This Row],[étudiants inscrits 2020-2021]]</f>
        <v>10658.157303370786</v>
      </c>
      <c r="W14" s="373">
        <f>EtabRCE7[[#This Row],[ETPT notifiés en 2021 au titre des programmes 150 et 2312]]/EtabRCE7[[#This Row],[étudiants inscrits 2020-2021]]*100</f>
        <v>10.299625468164795</v>
      </c>
      <c r="X14" s="374">
        <f t="shared" si="0"/>
        <v>79597.745454545453</v>
      </c>
      <c r="Y14" s="374"/>
      <c r="Z14" s="374"/>
      <c r="AA14" s="374"/>
      <c r="AB14" s="375"/>
      <c r="AC14" s="375"/>
      <c r="AD14" s="375"/>
      <c r="AE14" s="375"/>
      <c r="AF14" s="375"/>
      <c r="AG14" s="375"/>
      <c r="AH14" s="375"/>
      <c r="AI14" s="375"/>
      <c r="AJ14" s="375"/>
      <c r="AK14" s="375"/>
      <c r="AL14" s="375"/>
      <c r="AM14" s="375"/>
      <c r="AN14" s="375"/>
      <c r="AO14" s="375"/>
    </row>
    <row r="15" spans="1:41">
      <c r="A15" s="116" t="s">
        <v>331</v>
      </c>
      <c r="B15" s="313" t="s">
        <v>6</v>
      </c>
      <c r="C15" s="127" t="s">
        <v>78</v>
      </c>
      <c r="D15" s="168">
        <v>69409089</v>
      </c>
      <c r="E15" s="171">
        <v>69622289</v>
      </c>
      <c r="F15" s="169">
        <v>70019560</v>
      </c>
      <c r="G15" s="321">
        <v>71030164</v>
      </c>
      <c r="H15" s="117">
        <f>(EtabRCE7[[#This Row],[masse salariale 2022 affectée par le vote du CNESER du 15/11/2021 (150 et 231) en euros]]-EtabRCE7[[#This Row],[masse salariale 2021 affectée par le vote du CNESER du 24/11/2020 (150 et 231) en euros]])/EtabRCE7[[#This Row],[masse salariale 2021 affectée par le vote du CNESER du 24/11/2020 (150 et 231) en euros]]</f>
        <v>1.443316696077496E-2</v>
      </c>
      <c r="I15" s="168">
        <v>13281912</v>
      </c>
      <c r="J15" s="171">
        <v>78499884</v>
      </c>
      <c r="K15" s="172">
        <v>79847323</v>
      </c>
      <c r="L15" s="317">
        <v>80034451</v>
      </c>
      <c r="M15" s="117">
        <f>(EtabRCE7[[#This Row],[SCSP notifiées en CP votées par le CNESER en 2021pour 2022]]-EtabRCE7[[#This Row],[SCSP notifiées en CP votées par le CNESER en 2020 pour 2021]])/EtabRCE7[[#This Row],[SCSP notifiées en CP votées par le CNESER en 2020 pour 2021]]</f>
        <v>2.343572620462179E-3</v>
      </c>
      <c r="N15" s="168">
        <v>1065</v>
      </c>
      <c r="O15" s="171">
        <v>1065</v>
      </c>
      <c r="P15" s="169">
        <v>1065</v>
      </c>
      <c r="Q15" s="169"/>
      <c r="R15" s="318">
        <v>5353</v>
      </c>
      <c r="S15" s="319">
        <v>5417</v>
      </c>
      <c r="T15" s="320">
        <v>7803</v>
      </c>
      <c r="U15" s="320"/>
      <c r="V15" s="118">
        <f>EtabRCE7[[#This Row],[SCSP notifiées en CP votées par le CNESER en 2020 pour 2021]]/EtabRCE7[[#This Row],[étudiants inscrits 2020-2021]]</f>
        <v>10232.900551070101</v>
      </c>
      <c r="W15" s="119">
        <f>EtabRCE7[[#This Row],[ETPT notifiés en 2021 au titre des programmes 150 et 2312]]/EtabRCE7[[#This Row],[étudiants inscrits 2020-2021]]*100</f>
        <v>13.648596693579393</v>
      </c>
      <c r="X15" s="120">
        <f t="shared" si="0"/>
        <v>65172.853521126759</v>
      </c>
      <c r="Y15" s="120"/>
      <c r="Z15" s="120"/>
      <c r="AA15" s="120"/>
      <c r="AB15" s="114"/>
      <c r="AC15" s="114"/>
      <c r="AD15" s="114"/>
      <c r="AE15" s="114"/>
      <c r="AF15" s="114"/>
      <c r="AG15" s="114"/>
      <c r="AH15" s="114"/>
      <c r="AI15" s="114"/>
      <c r="AJ15" s="114"/>
      <c r="AK15" s="114"/>
      <c r="AL15" s="114"/>
      <c r="AM15" s="114"/>
      <c r="AN15" s="114"/>
      <c r="AO15" s="114"/>
    </row>
    <row r="16" spans="1:41" s="376" customFormat="1">
      <c r="A16" s="363" t="s">
        <v>205</v>
      </c>
      <c r="B16" s="364" t="s">
        <v>6</v>
      </c>
      <c r="C16" s="365" t="s">
        <v>79</v>
      </c>
      <c r="D16" s="366">
        <v>50696068</v>
      </c>
      <c r="E16" s="366">
        <v>50747803</v>
      </c>
      <c r="F16" s="366">
        <v>51127961</v>
      </c>
      <c r="G16" s="378">
        <v>51828386</v>
      </c>
      <c r="H16" s="368">
        <f>(EtabRCE7[[#This Row],[masse salariale 2022 affectée par le vote du CNESER du 15/11/2021 (150 et 231) en euros]]-EtabRCE7[[#This Row],[masse salariale 2021 affectée par le vote du CNESER du 24/11/2020 (150 et 231) en euros]])/EtabRCE7[[#This Row],[masse salariale 2021 affectée par le vote du CNESER du 24/11/2020 (150 et 231) en euros]]</f>
        <v>1.3699451069445152E-2</v>
      </c>
      <c r="I16" s="366">
        <v>14487501</v>
      </c>
      <c r="J16" s="366">
        <v>57751801</v>
      </c>
      <c r="K16" s="369">
        <v>58252999</v>
      </c>
      <c r="L16" s="370">
        <v>59115090</v>
      </c>
      <c r="M16" s="368">
        <f>(EtabRCE7[[#This Row],[SCSP notifiées en CP votées par le CNESER en 2021pour 2022]]-EtabRCE7[[#This Row],[SCSP notifiées en CP votées par le CNESER en 2020 pour 2021]])/EtabRCE7[[#This Row],[SCSP notifiées en CP votées par le CNESER en 2020 pour 2021]]</f>
        <v>1.4799083563062565E-2</v>
      </c>
      <c r="N16" s="366">
        <v>774</v>
      </c>
      <c r="O16" s="366">
        <v>770</v>
      </c>
      <c r="P16" s="366">
        <v>770</v>
      </c>
      <c r="Q16" s="366"/>
      <c r="R16" s="363">
        <v>3881</v>
      </c>
      <c r="S16" s="371">
        <v>3988</v>
      </c>
      <c r="T16" s="363">
        <v>4083</v>
      </c>
      <c r="U16" s="363"/>
      <c r="V16" s="372">
        <f>EtabRCE7[[#This Row],[SCSP notifiées en CP votées par le CNESER en 2020 pour 2021]]/EtabRCE7[[#This Row],[étudiants inscrits 2020-2021]]</f>
        <v>14267.205241244183</v>
      </c>
      <c r="W16" s="373">
        <f>EtabRCE7[[#This Row],[ETPT notifiés en 2021 au titre des programmes 150 et 2312]]/EtabRCE7[[#This Row],[étudiants inscrits 2020-2021]]*100</f>
        <v>18.858682341415626</v>
      </c>
      <c r="X16" s="374">
        <f t="shared" si="0"/>
        <v>65839.049350649351</v>
      </c>
      <c r="Y16" s="374"/>
      <c r="Z16" s="374"/>
      <c r="AA16" s="374"/>
      <c r="AB16" s="375"/>
      <c r="AC16" s="375"/>
      <c r="AD16" s="375"/>
      <c r="AE16" s="375"/>
      <c r="AF16" s="375"/>
      <c r="AG16" s="375"/>
      <c r="AH16" s="375"/>
      <c r="AI16" s="375"/>
      <c r="AJ16" s="375"/>
      <c r="AK16" s="375"/>
      <c r="AL16" s="375"/>
      <c r="AM16" s="375"/>
      <c r="AN16" s="375"/>
      <c r="AO16" s="375"/>
    </row>
    <row r="17" spans="1:41">
      <c r="A17" s="116" t="s">
        <v>205</v>
      </c>
      <c r="B17" s="313" t="s">
        <v>13</v>
      </c>
      <c r="C17" s="127" t="s">
        <v>80</v>
      </c>
      <c r="D17" s="168">
        <v>12815041</v>
      </c>
      <c r="E17" s="171">
        <v>12944223</v>
      </c>
      <c r="F17" s="169">
        <v>13183015</v>
      </c>
      <c r="G17" s="321">
        <v>13351282</v>
      </c>
      <c r="H17" s="117">
        <f>(EtabRCE7[[#This Row],[masse salariale 2022 affectée par le vote du CNESER du 15/11/2021 (150 et 231) en euros]]-EtabRCE7[[#This Row],[masse salariale 2021 affectée par le vote du CNESER du 24/11/2020 (150 et 231) en euros]])/EtabRCE7[[#This Row],[masse salariale 2021 affectée par le vote du CNESER du 24/11/2020 (150 et 231) en euros]]</f>
        <v>1.2763923882359232E-2</v>
      </c>
      <c r="I17" s="168">
        <v>40466584</v>
      </c>
      <c r="J17" s="171">
        <v>15028000</v>
      </c>
      <c r="K17" s="172">
        <v>15281936</v>
      </c>
      <c r="L17" s="317">
        <v>15367231</v>
      </c>
      <c r="M17" s="117">
        <f>(EtabRCE7[[#This Row],[SCSP notifiées en CP votées par le CNESER en 2021pour 2022]]-EtabRCE7[[#This Row],[SCSP notifiées en CP votées par le CNESER en 2020 pour 2021]])/EtabRCE7[[#This Row],[SCSP notifiées en CP votées par le CNESER en 2020 pour 2021]]</f>
        <v>5.5814263323704537E-3</v>
      </c>
      <c r="N17" s="168">
        <v>184</v>
      </c>
      <c r="O17" s="171">
        <v>184</v>
      </c>
      <c r="P17" s="169">
        <v>184</v>
      </c>
      <c r="Q17" s="169"/>
      <c r="R17" s="318">
        <v>1654</v>
      </c>
      <c r="S17" s="319">
        <v>1672</v>
      </c>
      <c r="T17" s="320">
        <v>1717</v>
      </c>
      <c r="U17" s="320"/>
      <c r="V17" s="118">
        <f>EtabRCE7[[#This Row],[SCSP notifiées en CP votées par le CNESER en 2020 pour 2021]]/EtabRCE7[[#This Row],[étudiants inscrits 2020-2021]]</f>
        <v>8900.3704135119388</v>
      </c>
      <c r="W17" s="119">
        <f>EtabRCE7[[#This Row],[ETPT notifiés en 2021 au titre des programmes 150 et 2312]]/EtabRCE7[[#This Row],[étudiants inscrits 2020-2021]]*100</f>
        <v>10.716365754222481</v>
      </c>
      <c r="X17" s="120">
        <f t="shared" si="0"/>
        <v>69646.961956521744</v>
      </c>
      <c r="Y17" s="120"/>
      <c r="Z17" s="120"/>
      <c r="AA17" s="120"/>
      <c r="AB17" s="114"/>
      <c r="AC17" s="114"/>
      <c r="AD17" s="114"/>
      <c r="AE17" s="114"/>
      <c r="AF17" s="114"/>
      <c r="AG17" s="114"/>
      <c r="AH17" s="114"/>
      <c r="AI17" s="114"/>
      <c r="AJ17" s="114"/>
      <c r="AK17" s="114"/>
      <c r="AL17" s="114"/>
      <c r="AM17" s="114"/>
      <c r="AN17" s="114"/>
      <c r="AO17" s="114"/>
    </row>
    <row r="18" spans="1:41" s="376" customFormat="1">
      <c r="A18" s="363" t="s">
        <v>205</v>
      </c>
      <c r="B18" s="364" t="s">
        <v>27</v>
      </c>
      <c r="C18" s="365" t="s">
        <v>81</v>
      </c>
      <c r="D18" s="366">
        <v>27333840</v>
      </c>
      <c r="E18" s="366">
        <v>27430373</v>
      </c>
      <c r="F18" s="366">
        <v>27624125</v>
      </c>
      <c r="G18" s="378">
        <v>27957634</v>
      </c>
      <c r="H18" s="368">
        <f>(EtabRCE7[[#This Row],[masse salariale 2022 affectée par le vote du CNESER du 15/11/2021 (150 et 231) en euros]]-EtabRCE7[[#This Row],[masse salariale 2021 affectée par le vote du CNESER du 24/11/2020 (150 et 231) en euros]])/EtabRCE7[[#This Row],[masse salariale 2021 affectée par le vote du CNESER du 24/11/2020 (150 et 231) en euros]]</f>
        <v>1.2073106387985141E-2</v>
      </c>
      <c r="I18" s="366">
        <v>25656528</v>
      </c>
      <c r="J18" s="366">
        <v>30208810</v>
      </c>
      <c r="K18" s="369">
        <v>30474082</v>
      </c>
      <c r="L18" s="370">
        <v>30799097</v>
      </c>
      <c r="M18" s="368">
        <f>(EtabRCE7[[#This Row],[SCSP notifiées en CP votées par le CNESER en 2021pour 2022]]-EtabRCE7[[#This Row],[SCSP notifiées en CP votées par le CNESER en 2020 pour 2021]])/EtabRCE7[[#This Row],[SCSP notifiées en CP votées par le CNESER en 2020 pour 2021]]</f>
        <v>1.0665292559099893E-2</v>
      </c>
      <c r="N18" s="366">
        <v>400</v>
      </c>
      <c r="O18" s="366">
        <v>400</v>
      </c>
      <c r="P18" s="366">
        <v>400</v>
      </c>
      <c r="Q18" s="366"/>
      <c r="R18" s="363">
        <v>2062</v>
      </c>
      <c r="S18" s="371">
        <v>2054</v>
      </c>
      <c r="T18" s="363">
        <v>2049</v>
      </c>
      <c r="U18" s="363"/>
      <c r="V18" s="372">
        <f>EtabRCE7[[#This Row],[SCSP notifiées en CP votées par le CNESER en 2020 pour 2021]]/EtabRCE7[[#This Row],[étudiants inscrits 2020-2021]]</f>
        <v>14872.660810151294</v>
      </c>
      <c r="W18" s="373">
        <f>EtabRCE7[[#This Row],[ETPT notifiés en 2021 au titre des programmes 150 et 2312]]/EtabRCE7[[#This Row],[étudiants inscrits 2020-2021]]*100</f>
        <v>19.521717911176182</v>
      </c>
      <c r="X18" s="374">
        <f t="shared" si="0"/>
        <v>68334.600000000006</v>
      </c>
      <c r="Y18" s="374"/>
      <c r="Z18" s="374"/>
      <c r="AA18" s="374"/>
      <c r="AB18" s="375"/>
      <c r="AC18" s="375"/>
      <c r="AD18" s="375"/>
      <c r="AE18" s="375"/>
      <c r="AF18" s="375"/>
      <c r="AG18" s="375"/>
      <c r="AH18" s="375"/>
      <c r="AI18" s="375"/>
      <c r="AJ18" s="375"/>
      <c r="AK18" s="375"/>
      <c r="AL18" s="375"/>
      <c r="AM18" s="375"/>
      <c r="AN18" s="375"/>
      <c r="AO18" s="375"/>
    </row>
    <row r="19" spans="1:41">
      <c r="A19" s="116" t="s">
        <v>205</v>
      </c>
      <c r="B19" s="313" t="s">
        <v>4</v>
      </c>
      <c r="C19" s="127" t="s">
        <v>82</v>
      </c>
      <c r="D19" s="168">
        <v>21996266</v>
      </c>
      <c r="E19" s="171">
        <v>22061972</v>
      </c>
      <c r="F19" s="169">
        <v>22204975</v>
      </c>
      <c r="G19" s="321">
        <v>22458293</v>
      </c>
      <c r="H19" s="117">
        <f>(EtabRCE7[[#This Row],[masse salariale 2022 affectée par le vote du CNESER du 15/11/2021 (150 et 231) en euros]]-EtabRCE7[[#This Row],[masse salariale 2021 affectée par le vote du CNESER du 24/11/2020 (150 et 231) en euros]])/EtabRCE7[[#This Row],[masse salariale 2021 affectée par le vote du CNESER du 24/11/2020 (150 et 231) en euros]]</f>
        <v>1.1408164161409775E-2</v>
      </c>
      <c r="I19" s="168">
        <v>7057026</v>
      </c>
      <c r="J19" s="171">
        <v>24669025</v>
      </c>
      <c r="K19" s="172">
        <v>24858857</v>
      </c>
      <c r="L19" s="317">
        <v>25009797</v>
      </c>
      <c r="M19" s="117">
        <f>(EtabRCE7[[#This Row],[SCSP notifiées en CP votées par le CNESER en 2021pour 2022]]-EtabRCE7[[#This Row],[SCSP notifiées en CP votées par le CNESER en 2020 pour 2021]])/EtabRCE7[[#This Row],[SCSP notifiées en CP votées par le CNESER en 2020 pour 2021]]</f>
        <v>6.0718801351164293E-3</v>
      </c>
      <c r="N19" s="168">
        <v>325</v>
      </c>
      <c r="O19" s="171">
        <v>325</v>
      </c>
      <c r="P19" s="169">
        <v>325</v>
      </c>
      <c r="Q19" s="169"/>
      <c r="R19" s="318">
        <v>1978</v>
      </c>
      <c r="S19" s="319">
        <v>2021</v>
      </c>
      <c r="T19" s="320">
        <v>2048</v>
      </c>
      <c r="U19" s="320"/>
      <c r="V19" s="118">
        <f>EtabRCE7[[#This Row],[SCSP notifiées en CP votées par le CNESER en 2020 pour 2021]]/EtabRCE7[[#This Row],[étudiants inscrits 2020-2021]]</f>
        <v>12138.11376953125</v>
      </c>
      <c r="W19" s="119">
        <f>EtabRCE7[[#This Row],[ETPT notifiés en 2021 au titre des programmes 150 et 2312]]/EtabRCE7[[#This Row],[étudiants inscrits 2020-2021]]*100</f>
        <v>15.869140625</v>
      </c>
      <c r="X19" s="120">
        <f t="shared" si="0"/>
        <v>67680.818461538467</v>
      </c>
      <c r="Y19" s="120"/>
      <c r="Z19" s="120"/>
      <c r="AA19" s="120"/>
      <c r="AB19" s="114"/>
      <c r="AC19" s="114"/>
      <c r="AD19" s="114"/>
      <c r="AE19" s="114"/>
      <c r="AF19" s="114"/>
      <c r="AG19" s="114"/>
      <c r="AH19" s="114"/>
      <c r="AI19" s="114"/>
      <c r="AJ19" s="114"/>
      <c r="AK19" s="114"/>
      <c r="AL19" s="114"/>
      <c r="AM19" s="114"/>
      <c r="AN19" s="114"/>
      <c r="AO19" s="114"/>
    </row>
    <row r="20" spans="1:41" s="376" customFormat="1">
      <c r="A20" s="363" t="s">
        <v>205</v>
      </c>
      <c r="B20" s="364" t="s">
        <v>8</v>
      </c>
      <c r="C20" s="365" t="s">
        <v>83</v>
      </c>
      <c r="D20" s="366">
        <v>16012217</v>
      </c>
      <c r="E20" s="366">
        <v>16073187</v>
      </c>
      <c r="F20" s="366">
        <v>16178437</v>
      </c>
      <c r="G20" s="378">
        <v>16346915</v>
      </c>
      <c r="H20" s="368">
        <f>(EtabRCE7[[#This Row],[masse salariale 2022 affectée par le vote du CNESER du 15/11/2021 (150 et 231) en euros]]-EtabRCE7[[#This Row],[masse salariale 2021 affectée par le vote du CNESER du 24/11/2020 (150 et 231) en euros]])/EtabRCE7[[#This Row],[masse salariale 2021 affectée par le vote du CNESER du 24/11/2020 (150 et 231) en euros]]</f>
        <v>1.0413737742403669E-2</v>
      </c>
      <c r="I20" s="366">
        <v>78405315</v>
      </c>
      <c r="J20" s="366">
        <v>18131705</v>
      </c>
      <c r="K20" s="369">
        <v>18460640</v>
      </c>
      <c r="L20" s="370">
        <v>18511872</v>
      </c>
      <c r="M20" s="368">
        <f>(EtabRCE7[[#This Row],[SCSP notifiées en CP votées par le CNESER en 2021pour 2022]]-EtabRCE7[[#This Row],[SCSP notifiées en CP votées par le CNESER en 2020 pour 2021]])/EtabRCE7[[#This Row],[SCSP notifiées en CP votées par le CNESER en 2020 pour 2021]]</f>
        <v>2.7752017264840224E-3</v>
      </c>
      <c r="N20" s="366">
        <v>202</v>
      </c>
      <c r="O20" s="366">
        <v>202</v>
      </c>
      <c r="P20" s="366">
        <v>202</v>
      </c>
      <c r="Q20" s="366"/>
      <c r="R20" s="363">
        <v>1977</v>
      </c>
      <c r="S20" s="371">
        <v>1997</v>
      </c>
      <c r="T20" s="363">
        <v>2018</v>
      </c>
      <c r="U20" s="363"/>
      <c r="V20" s="372">
        <f>EtabRCE7[[#This Row],[SCSP notifiées en CP votées par le CNESER en 2020 pour 2021]]/EtabRCE7[[#This Row],[étudiants inscrits 2020-2021]]</f>
        <v>9147.98810703667</v>
      </c>
      <c r="W20" s="373">
        <f>EtabRCE7[[#This Row],[ETPT notifiés en 2021 au titre des programmes 150 et 2312]]/EtabRCE7[[#This Row],[étudiants inscrits 2020-2021]]*100</f>
        <v>10.009910802775025</v>
      </c>
      <c r="X20" s="374">
        <f t="shared" si="0"/>
        <v>79268.400990099006</v>
      </c>
      <c r="Y20" s="374"/>
      <c r="Z20" s="374"/>
      <c r="AA20" s="374"/>
      <c r="AB20" s="375"/>
      <c r="AC20" s="375"/>
      <c r="AD20" s="375"/>
      <c r="AE20" s="375"/>
      <c r="AF20" s="375"/>
      <c r="AG20" s="375"/>
      <c r="AH20" s="375"/>
      <c r="AI20" s="375"/>
      <c r="AJ20" s="375"/>
      <c r="AK20" s="375"/>
      <c r="AL20" s="375"/>
      <c r="AM20" s="375"/>
      <c r="AN20" s="375"/>
      <c r="AO20" s="375"/>
    </row>
    <row r="21" spans="1:41">
      <c r="A21" s="116" t="s">
        <v>205</v>
      </c>
      <c r="B21" s="313" t="s">
        <v>39</v>
      </c>
      <c r="C21" s="127" t="s">
        <v>84</v>
      </c>
      <c r="D21" s="168">
        <v>36048412</v>
      </c>
      <c r="E21" s="171">
        <v>36135806</v>
      </c>
      <c r="F21" s="169">
        <v>36425602</v>
      </c>
      <c r="G21" s="321">
        <v>37022425</v>
      </c>
      <c r="H21" s="117">
        <f>(EtabRCE7[[#This Row],[masse salariale 2022 affectée par le vote du CNESER du 15/11/2021 (150 et 231) en euros]]-EtabRCE7[[#This Row],[masse salariale 2021 affectée par le vote du CNESER du 24/11/2020 (150 et 231) en euros]])/EtabRCE7[[#This Row],[masse salariale 2021 affectée par le vote du CNESER du 24/11/2020 (150 et 231) en euros]]</f>
        <v>1.6384712049508476E-2</v>
      </c>
      <c r="I21" s="168">
        <v>30300991</v>
      </c>
      <c r="J21" s="171">
        <v>40450766</v>
      </c>
      <c r="K21" s="172">
        <v>40721425</v>
      </c>
      <c r="L21" s="317">
        <v>41302083</v>
      </c>
      <c r="M21" s="117">
        <f>(EtabRCE7[[#This Row],[SCSP notifiées en CP votées par le CNESER en 2021pour 2022]]-EtabRCE7[[#This Row],[SCSP notifiées en CP votées par le CNESER en 2020 pour 2021]])/EtabRCE7[[#This Row],[SCSP notifiées en CP votées par le CNESER en 2020 pour 2021]]</f>
        <v>1.4259275062206197E-2</v>
      </c>
      <c r="N21" s="168">
        <v>502</v>
      </c>
      <c r="O21" s="171">
        <v>500</v>
      </c>
      <c r="P21" s="169">
        <v>500</v>
      </c>
      <c r="Q21" s="169"/>
      <c r="R21" s="318">
        <v>3032</v>
      </c>
      <c r="S21" s="319">
        <v>3023</v>
      </c>
      <c r="T21" s="320">
        <v>3054</v>
      </c>
      <c r="U21" s="320"/>
      <c r="V21" s="118">
        <f>EtabRCE7[[#This Row],[SCSP notifiées en CP votées par le CNESER en 2020 pour 2021]]/EtabRCE7[[#This Row],[étudiants inscrits 2020-2021]]</f>
        <v>13333.799934512115</v>
      </c>
      <c r="W21" s="119">
        <f>EtabRCE7[[#This Row],[ETPT notifiés en 2021 au titre des programmes 150 et 2312]]/EtabRCE7[[#This Row],[étudiants inscrits 2020-2021]]*100</f>
        <v>16.371971185330715</v>
      </c>
      <c r="X21" s="120">
        <f t="shared" si="0"/>
        <v>72096.823999999993</v>
      </c>
      <c r="Y21" s="120"/>
      <c r="Z21" s="120"/>
      <c r="AA21" s="120"/>
      <c r="AB21" s="114"/>
      <c r="AC21" s="114"/>
      <c r="AD21" s="114"/>
      <c r="AE21" s="114"/>
      <c r="AF21" s="114"/>
      <c r="AG21" s="114"/>
      <c r="AH21" s="114"/>
      <c r="AI21" s="114"/>
      <c r="AJ21" s="114"/>
      <c r="AK21" s="114"/>
      <c r="AL21" s="114"/>
      <c r="AM21" s="114"/>
      <c r="AN21" s="114"/>
      <c r="AO21" s="114"/>
    </row>
    <row r="22" spans="1:41" s="376" customFormat="1">
      <c r="A22" s="363" t="s">
        <v>205</v>
      </c>
      <c r="B22" s="364" t="s">
        <v>8</v>
      </c>
      <c r="C22" s="365" t="s">
        <v>85</v>
      </c>
      <c r="D22" s="366">
        <v>9497483</v>
      </c>
      <c r="E22" s="366">
        <v>9544975</v>
      </c>
      <c r="F22" s="366">
        <v>9614756</v>
      </c>
      <c r="G22" s="378">
        <v>9736591</v>
      </c>
      <c r="H22" s="368">
        <f>(EtabRCE7[[#This Row],[masse salariale 2022 affectée par le vote du CNESER du 15/11/2021 (150 et 231) en euros]]-EtabRCE7[[#This Row],[masse salariale 2021 affectée par le vote du CNESER du 24/11/2020 (150 et 231) en euros]])/EtabRCE7[[#This Row],[masse salariale 2021 affectée par le vote du CNESER du 24/11/2020 (150 et 231) en euros]]</f>
        <v>1.2671668422994822E-2</v>
      </c>
      <c r="I22" s="366">
        <v>58055290</v>
      </c>
      <c r="J22" s="366">
        <v>11299495</v>
      </c>
      <c r="K22" s="369">
        <v>11278918</v>
      </c>
      <c r="L22" s="370">
        <v>11418553</v>
      </c>
      <c r="M22" s="368">
        <f>(EtabRCE7[[#This Row],[SCSP notifiées en CP votées par le CNESER en 2021pour 2022]]-EtabRCE7[[#This Row],[SCSP notifiées en CP votées par le CNESER en 2020 pour 2021]])/EtabRCE7[[#This Row],[SCSP notifiées en CP votées par le CNESER en 2020 pour 2021]]</f>
        <v>1.2380176892854439E-2</v>
      </c>
      <c r="N22" s="366">
        <v>144</v>
      </c>
      <c r="O22" s="366">
        <v>144</v>
      </c>
      <c r="P22" s="366">
        <v>144</v>
      </c>
      <c r="Q22" s="366"/>
      <c r="R22" s="363">
        <v>722</v>
      </c>
      <c r="S22" s="371">
        <v>771</v>
      </c>
      <c r="T22" s="363">
        <v>728</v>
      </c>
      <c r="U22" s="363"/>
      <c r="V22" s="372">
        <f>EtabRCE7[[#This Row],[SCSP notifiées en CP votées par le CNESER en 2020 pour 2021]]/EtabRCE7[[#This Row],[étudiants inscrits 2020-2021]]</f>
        <v>15493.01923076923</v>
      </c>
      <c r="W22" s="373">
        <f>EtabRCE7[[#This Row],[ETPT notifiés en 2021 au titre des programmes 150 et 2312]]/EtabRCE7[[#This Row],[étudiants inscrits 2020-2021]]*100</f>
        <v>19.780219780219781</v>
      </c>
      <c r="X22" s="374">
        <f t="shared" si="0"/>
        <v>65954.743055555562</v>
      </c>
      <c r="Y22" s="374"/>
      <c r="Z22" s="374"/>
      <c r="AA22" s="374"/>
      <c r="AB22" s="375"/>
      <c r="AC22" s="375"/>
      <c r="AD22" s="375"/>
      <c r="AE22" s="375"/>
      <c r="AF22" s="375"/>
      <c r="AG22" s="375"/>
      <c r="AH22" s="375"/>
      <c r="AI22" s="375"/>
      <c r="AJ22" s="375"/>
      <c r="AK22" s="375"/>
      <c r="AL22" s="375"/>
      <c r="AM22" s="375"/>
      <c r="AN22" s="375"/>
      <c r="AO22" s="375"/>
    </row>
    <row r="23" spans="1:41">
      <c r="A23" s="116" t="s">
        <v>205</v>
      </c>
      <c r="B23" s="313" t="s">
        <v>37</v>
      </c>
      <c r="C23" s="127" t="s">
        <v>407</v>
      </c>
      <c r="D23" s="168">
        <v>11450175</v>
      </c>
      <c r="E23" s="171">
        <v>11499891</v>
      </c>
      <c r="F23" s="169">
        <v>11576491</v>
      </c>
      <c r="G23" s="321">
        <v>11655250</v>
      </c>
      <c r="H23" s="117">
        <f>(EtabRCE7[[#This Row],[masse salariale 2022 affectée par le vote du CNESER du 15/11/2021 (150 et 231) en euros]]-EtabRCE7[[#This Row],[masse salariale 2021 affectée par le vote du CNESER du 24/11/2020 (150 et 231) en euros]])/EtabRCE7[[#This Row],[masse salariale 2021 affectée par le vote du CNESER du 24/11/2020 (150 et 231) en euros]]</f>
        <v>6.8033569066826899E-3</v>
      </c>
      <c r="I23" s="168">
        <v>11172666</v>
      </c>
      <c r="J23" s="171">
        <v>13851870</v>
      </c>
      <c r="K23" s="172">
        <v>13356058</v>
      </c>
      <c r="L23" s="317">
        <v>13549498</v>
      </c>
      <c r="M23" s="117">
        <f>(EtabRCE7[[#This Row],[SCSP notifiées en CP votées par le CNESER en 2021pour 2022]]-EtabRCE7[[#This Row],[SCSP notifiées en CP votées par le CNESER en 2020 pour 2021]])/EtabRCE7[[#This Row],[SCSP notifiées en CP votées par le CNESER en 2020 pour 2021]]</f>
        <v>1.4483315361463689E-2</v>
      </c>
      <c r="N23" s="168">
        <v>147</v>
      </c>
      <c r="O23" s="171">
        <v>147</v>
      </c>
      <c r="P23" s="169">
        <v>147</v>
      </c>
      <c r="Q23" s="169"/>
      <c r="R23" s="318">
        <v>1052</v>
      </c>
      <c r="S23" s="319">
        <v>1112</v>
      </c>
      <c r="T23" s="320">
        <v>3089</v>
      </c>
      <c r="U23" s="320"/>
      <c r="V23" s="118">
        <f>EtabRCE7[[#This Row],[SCSP notifiées en CP votées par le CNESER en 2020 pour 2021]]/EtabRCE7[[#This Row],[étudiants inscrits 2020-2021]]</f>
        <v>4323.7481385561669</v>
      </c>
      <c r="W23" s="119">
        <f>EtabRCE7[[#This Row],[ETPT notifiés en 2021 au titre des programmes 150 et 2312]]/EtabRCE7[[#This Row],[étudiants inscrits 2020-2021]]*100</f>
        <v>4.7588216251213984</v>
      </c>
      <c r="X23" s="120">
        <f t="shared" si="0"/>
        <v>77892.346938775503</v>
      </c>
      <c r="Y23" s="120"/>
      <c r="Z23" s="120"/>
      <c r="AA23" s="120"/>
      <c r="AB23" s="114"/>
      <c r="AC23" s="114"/>
      <c r="AD23" s="114"/>
      <c r="AE23" s="114"/>
      <c r="AF23" s="114"/>
      <c r="AG23" s="114"/>
      <c r="AH23" s="114"/>
      <c r="AI23" s="114"/>
      <c r="AJ23" s="114"/>
      <c r="AK23" s="114"/>
      <c r="AL23" s="114"/>
      <c r="AM23" s="114"/>
      <c r="AN23" s="114"/>
      <c r="AO23" s="114"/>
    </row>
    <row r="24" spans="1:41" s="376" customFormat="1">
      <c r="A24" s="363" t="s">
        <v>205</v>
      </c>
      <c r="B24" s="364" t="s">
        <v>6</v>
      </c>
      <c r="C24" s="365" t="s">
        <v>86</v>
      </c>
      <c r="D24" s="366">
        <v>26455503</v>
      </c>
      <c r="E24" s="366">
        <v>26490117</v>
      </c>
      <c r="F24" s="366">
        <v>26628124</v>
      </c>
      <c r="G24" s="378">
        <v>26889180</v>
      </c>
      <c r="H24" s="368">
        <f>(EtabRCE7[[#This Row],[masse salariale 2022 affectée par le vote du CNESER du 15/11/2021 (150 et 231) en euros]]-EtabRCE7[[#This Row],[masse salariale 2021 affectée par le vote du CNESER du 24/11/2020 (150 et 231) en euros]])/EtabRCE7[[#This Row],[masse salariale 2021 affectée par le vote du CNESER du 24/11/2020 (150 et 231) en euros]]</f>
        <v>9.8037698787943155E-3</v>
      </c>
      <c r="I24" s="366">
        <v>12184006</v>
      </c>
      <c r="J24" s="366">
        <v>28983438</v>
      </c>
      <c r="K24" s="369">
        <v>29024840</v>
      </c>
      <c r="L24" s="370">
        <v>29281087</v>
      </c>
      <c r="M24" s="368">
        <f>(EtabRCE7[[#This Row],[SCSP notifiées en CP votées par le CNESER en 2021pour 2022]]-EtabRCE7[[#This Row],[SCSP notifiées en CP votées par le CNESER en 2020 pour 2021]])/EtabRCE7[[#This Row],[SCSP notifiées en CP votées par le CNESER en 2020 pour 2021]]</f>
        <v>8.8285413459643532E-3</v>
      </c>
      <c r="N24" s="366">
        <v>357</v>
      </c>
      <c r="O24" s="366">
        <v>357</v>
      </c>
      <c r="P24" s="366">
        <v>357</v>
      </c>
      <c r="Q24" s="366"/>
      <c r="R24" s="363">
        <v>2692</v>
      </c>
      <c r="S24" s="371">
        <v>2646</v>
      </c>
      <c r="T24" s="363">
        <v>2590</v>
      </c>
      <c r="U24" s="363"/>
      <c r="V24" s="372">
        <f>EtabRCE7[[#This Row],[SCSP notifiées en CP votées par le CNESER en 2020 pour 2021]]/EtabRCE7[[#This Row],[étudiants inscrits 2020-2021]]</f>
        <v>11206.50193050193</v>
      </c>
      <c r="W24" s="373">
        <f>EtabRCE7[[#This Row],[ETPT notifiés en 2021 au titre des programmes 150 et 2312]]/EtabRCE7[[#This Row],[étudiants inscrits 2020-2021]]*100</f>
        <v>13.783783783783784</v>
      </c>
      <c r="X24" s="374">
        <f t="shared" si="0"/>
        <v>74105.050420168074</v>
      </c>
      <c r="Y24" s="374"/>
      <c r="Z24" s="374"/>
      <c r="AA24" s="374"/>
      <c r="AB24" s="375"/>
      <c r="AC24" s="375"/>
      <c r="AD24" s="375"/>
      <c r="AE24" s="375"/>
      <c r="AF24" s="375"/>
      <c r="AG24" s="375"/>
      <c r="AH24" s="375"/>
      <c r="AI24" s="375"/>
      <c r="AJ24" s="375"/>
      <c r="AK24" s="375"/>
      <c r="AL24" s="375"/>
      <c r="AM24" s="375"/>
      <c r="AN24" s="375"/>
      <c r="AO24" s="375"/>
    </row>
    <row r="25" spans="1:41">
      <c r="A25" s="116" t="s">
        <v>205</v>
      </c>
      <c r="B25" s="313" t="s">
        <v>6</v>
      </c>
      <c r="C25" s="127" t="s">
        <v>87</v>
      </c>
      <c r="D25" s="168">
        <v>42637650</v>
      </c>
      <c r="E25" s="171">
        <v>42793661</v>
      </c>
      <c r="F25" s="169">
        <v>43036622</v>
      </c>
      <c r="G25" s="321">
        <v>43845020</v>
      </c>
      <c r="H25" s="117">
        <f>(EtabRCE7[[#This Row],[masse salariale 2022 affectée par le vote du CNESER du 15/11/2021 (150 et 231) en euros]]-EtabRCE7[[#This Row],[masse salariale 2021 affectée par le vote du CNESER du 24/11/2020 (150 et 231) en euros]])/EtabRCE7[[#This Row],[masse salariale 2021 affectée par le vote du CNESER du 24/11/2020 (150 et 231) en euros]]</f>
        <v>1.8783955673844475E-2</v>
      </c>
      <c r="I25" s="168">
        <v>9018250</v>
      </c>
      <c r="J25" s="171">
        <v>47802608</v>
      </c>
      <c r="K25" s="172">
        <v>48072241</v>
      </c>
      <c r="L25" s="317">
        <v>48943028</v>
      </c>
      <c r="M25" s="117">
        <f>(EtabRCE7[[#This Row],[SCSP notifiées en CP votées par le CNESER en 2021pour 2022]]-EtabRCE7[[#This Row],[SCSP notifiées en CP votées par le CNESER en 2020 pour 2021]])/EtabRCE7[[#This Row],[SCSP notifiées en CP votées par le CNESER en 2020 pour 2021]]</f>
        <v>1.8114133684759986E-2</v>
      </c>
      <c r="N25" s="168">
        <v>634</v>
      </c>
      <c r="O25" s="171">
        <v>634</v>
      </c>
      <c r="P25" s="169">
        <v>634</v>
      </c>
      <c r="Q25" s="169"/>
      <c r="R25" s="318">
        <v>4291</v>
      </c>
      <c r="S25" s="319">
        <v>4343</v>
      </c>
      <c r="T25" s="320">
        <v>4219</v>
      </c>
      <c r="U25" s="320"/>
      <c r="V25" s="118">
        <f>EtabRCE7[[#This Row],[SCSP notifiées en CP votées par le CNESER en 2020 pour 2021]]/EtabRCE7[[#This Row],[étudiants inscrits 2020-2021]]</f>
        <v>11394.226356956624</v>
      </c>
      <c r="W25" s="119">
        <f>EtabRCE7[[#This Row],[ETPT notifiés en 2021 au titre des programmes 150 et 2312]]/EtabRCE7[[#This Row],[étudiants inscrits 2020-2021]]*100</f>
        <v>15.027257643991469</v>
      </c>
      <c r="X25" s="120">
        <f t="shared" si="0"/>
        <v>67251.813880126181</v>
      </c>
      <c r="Y25" s="120"/>
      <c r="Z25" s="120"/>
      <c r="AA25" s="120"/>
      <c r="AB25" s="114"/>
      <c r="AC25" s="114"/>
      <c r="AD25" s="114"/>
      <c r="AE25" s="114"/>
      <c r="AF25" s="114"/>
      <c r="AG25" s="114"/>
      <c r="AH25" s="114"/>
      <c r="AI25" s="114"/>
      <c r="AJ25" s="114"/>
      <c r="AK25" s="114"/>
      <c r="AL25" s="114"/>
      <c r="AM25" s="114"/>
      <c r="AN25" s="114"/>
      <c r="AO25" s="114"/>
    </row>
    <row r="26" spans="1:41" s="376" customFormat="1">
      <c r="A26" s="363" t="s">
        <v>205</v>
      </c>
      <c r="B26" s="364" t="s">
        <v>18</v>
      </c>
      <c r="C26" s="365" t="s">
        <v>88</v>
      </c>
      <c r="D26" s="366">
        <v>24579886</v>
      </c>
      <c r="E26" s="366">
        <v>24639689</v>
      </c>
      <c r="F26" s="366">
        <v>24756215</v>
      </c>
      <c r="G26" s="378">
        <v>25158357</v>
      </c>
      <c r="H26" s="368">
        <f>(EtabRCE7[[#This Row],[masse salariale 2022 affectée par le vote du CNESER du 15/11/2021 (150 et 231) en euros]]-EtabRCE7[[#This Row],[masse salariale 2021 affectée par le vote du CNESER du 24/11/2020 (150 et 231) en euros]])/EtabRCE7[[#This Row],[masse salariale 2021 affectée par le vote du CNESER du 24/11/2020 (150 et 231) en euros]]</f>
        <v>1.6244082546544372E-2</v>
      </c>
      <c r="I26" s="366">
        <v>9851160</v>
      </c>
      <c r="J26" s="366">
        <v>25532830</v>
      </c>
      <c r="K26" s="369">
        <v>25642716</v>
      </c>
      <c r="L26" s="370">
        <v>26047739</v>
      </c>
      <c r="M26" s="368">
        <f>(EtabRCE7[[#This Row],[SCSP notifiées en CP votées par le CNESER en 2021pour 2022]]-EtabRCE7[[#This Row],[SCSP notifiées en CP votées par le CNESER en 2020 pour 2021]])/EtabRCE7[[#This Row],[SCSP notifiées en CP votées par le CNESER en 2020 pour 2021]]</f>
        <v>1.57948557399302E-2</v>
      </c>
      <c r="N26" s="366">
        <v>309</v>
      </c>
      <c r="O26" s="366">
        <v>309</v>
      </c>
      <c r="P26" s="366">
        <v>309</v>
      </c>
      <c r="Q26" s="366"/>
      <c r="R26" s="363">
        <v>3172</v>
      </c>
      <c r="S26" s="371">
        <v>3066</v>
      </c>
      <c r="T26" s="363">
        <v>3256</v>
      </c>
      <c r="U26" s="363"/>
      <c r="V26" s="372">
        <f>EtabRCE7[[#This Row],[SCSP notifiées en CP votées par le CNESER en 2020 pour 2021]]/EtabRCE7[[#This Row],[étudiants inscrits 2020-2021]]</f>
        <v>7875.5270270270266</v>
      </c>
      <c r="W26" s="373">
        <f>EtabRCE7[[#This Row],[ETPT notifiés en 2021 au titre des programmes 150 et 2312]]/EtabRCE7[[#This Row],[étudiants inscrits 2020-2021]]*100</f>
        <v>9.4901719901719908</v>
      </c>
      <c r="X26" s="374">
        <f t="shared" si="0"/>
        <v>79546.556634304201</v>
      </c>
      <c r="Y26" s="374"/>
      <c r="Z26" s="374"/>
      <c r="AA26" s="374"/>
      <c r="AB26" s="375"/>
      <c r="AC26" s="375"/>
      <c r="AD26" s="375"/>
      <c r="AE26" s="375"/>
      <c r="AF26" s="375"/>
      <c r="AG26" s="375"/>
      <c r="AH26" s="375"/>
      <c r="AI26" s="375"/>
      <c r="AJ26" s="375"/>
      <c r="AK26" s="375"/>
      <c r="AL26" s="375"/>
      <c r="AM26" s="375"/>
      <c r="AN26" s="375"/>
      <c r="AO26" s="375"/>
    </row>
    <row r="27" spans="1:41">
      <c r="A27" s="116" t="s">
        <v>206</v>
      </c>
      <c r="B27" s="313" t="s">
        <v>8</v>
      </c>
      <c r="C27" s="127" t="s">
        <v>90</v>
      </c>
      <c r="D27" s="168">
        <v>92119313</v>
      </c>
      <c r="E27" s="171">
        <v>92604331</v>
      </c>
      <c r="F27" s="169">
        <v>93660754</v>
      </c>
      <c r="G27" s="321">
        <v>96404769</v>
      </c>
      <c r="H27" s="117">
        <f>(EtabRCE7[[#This Row],[masse salariale 2022 affectée par le vote du CNESER du 15/11/2021 (150 et 231) en euros]]-EtabRCE7[[#This Row],[masse salariale 2021 affectée par le vote du CNESER du 24/11/2020 (150 et 231) en euros]])/EtabRCE7[[#This Row],[masse salariale 2021 affectée par le vote du CNESER du 24/11/2020 (150 et 231) en euros]]</f>
        <v>2.9297383192110539E-2</v>
      </c>
      <c r="I27" s="168">
        <v>111188113</v>
      </c>
      <c r="J27" s="171">
        <v>110660608</v>
      </c>
      <c r="K27" s="172">
        <v>111900402</v>
      </c>
      <c r="L27" s="316">
        <v>114859142</v>
      </c>
      <c r="M27" s="117">
        <f>(EtabRCE7[[#This Row],[SCSP notifiées en CP votées par le CNESER en 2021pour 2022]]-EtabRCE7[[#This Row],[SCSP notifiées en CP votées par le CNESER en 2020 pour 2021]])/EtabRCE7[[#This Row],[SCSP notifiées en CP votées par le CNESER en 2020 pour 2021]]</f>
        <v>2.6440834412730707E-2</v>
      </c>
      <c r="N27" s="168">
        <v>1379</v>
      </c>
      <c r="O27" s="171">
        <v>1384</v>
      </c>
      <c r="P27" s="169">
        <v>1384</v>
      </c>
      <c r="Q27" s="169"/>
      <c r="R27" s="318"/>
      <c r="S27" s="319"/>
      <c r="T27" s="320"/>
      <c r="U27" s="320"/>
      <c r="V27" s="118" t="e">
        <f>EtabRCE7[[#This Row],[SCSP notifiées en CP votées par le CNESER en 2020 pour 2021]]/EtabRCE7[[#This Row],[étudiants inscrits 2020-2021]]</f>
        <v>#DIV/0!</v>
      </c>
      <c r="W27" s="119" t="e">
        <f>EtabRCE7[[#This Row],[ETPT notifiés en 2021 au titre des programmes 150 et 2312]]/EtabRCE7[[#This Row],[étudiants inscrits 2020-2021]]*100</f>
        <v>#DIV/0!</v>
      </c>
      <c r="X27" s="120">
        <f t="shared" si="0"/>
        <v>66560.19725433526</v>
      </c>
      <c r="Y27" s="120"/>
      <c r="Z27" s="120"/>
      <c r="AA27" s="120"/>
      <c r="AB27" s="114"/>
      <c r="AC27" s="114"/>
      <c r="AD27" s="114"/>
      <c r="AE27" s="114"/>
      <c r="AF27" s="114"/>
      <c r="AG27" s="114"/>
      <c r="AH27" s="114"/>
      <c r="AI27" s="114"/>
      <c r="AJ27" s="114"/>
      <c r="AK27" s="114"/>
      <c r="AL27" s="114"/>
      <c r="AM27" s="114"/>
      <c r="AN27" s="114"/>
      <c r="AO27" s="114"/>
    </row>
    <row r="28" spans="1:41" s="376" customFormat="1">
      <c r="A28" s="363" t="s">
        <v>206</v>
      </c>
      <c r="B28" s="364" t="s">
        <v>39</v>
      </c>
      <c r="C28" s="365" t="s">
        <v>91</v>
      </c>
      <c r="D28" s="366">
        <v>25932624</v>
      </c>
      <c r="E28" s="366">
        <v>25997215</v>
      </c>
      <c r="F28" s="366">
        <v>26069966</v>
      </c>
      <c r="G28" s="378">
        <v>26310516</v>
      </c>
      <c r="H28" s="368">
        <f>(EtabRCE7[[#This Row],[masse salariale 2022 affectée par le vote du CNESER du 15/11/2021 (150 et 231) en euros]]-EtabRCE7[[#This Row],[masse salariale 2021 affectée par le vote du CNESER du 24/11/2020 (150 et 231) en euros]])/EtabRCE7[[#This Row],[masse salariale 2021 affectée par le vote du CNESER du 24/11/2020 (150 et 231) en euros]]</f>
        <v>9.2270929697415034E-3</v>
      </c>
      <c r="I28" s="366">
        <v>33034561</v>
      </c>
      <c r="J28" s="366">
        <v>33095716</v>
      </c>
      <c r="K28" s="369">
        <v>33168467</v>
      </c>
      <c r="L28" s="370">
        <v>33529049</v>
      </c>
      <c r="M28" s="368">
        <f>(EtabRCE7[[#This Row],[SCSP notifiées en CP votées par le CNESER en 2021pour 2022]]-EtabRCE7[[#This Row],[SCSP notifiées en CP votées par le CNESER en 2020 pour 2021]])/EtabRCE7[[#This Row],[SCSP notifiées en CP votées par le CNESER en 2020 pour 2021]]</f>
        <v>1.0871228989871615E-2</v>
      </c>
      <c r="N28" s="366">
        <v>365</v>
      </c>
      <c r="O28" s="366">
        <v>365</v>
      </c>
      <c r="P28" s="366">
        <v>365</v>
      </c>
      <c r="Q28" s="366"/>
      <c r="R28" s="363"/>
      <c r="S28" s="371"/>
      <c r="T28" s="363"/>
      <c r="U28" s="363"/>
      <c r="V28" s="372" t="e">
        <f>EtabRCE7[[#This Row],[SCSP notifiées en CP votées par le CNESER en 2020 pour 2021]]/EtabRCE7[[#This Row],[étudiants inscrits 2020-2021]]</f>
        <v>#DIV/0!</v>
      </c>
      <c r="W28" s="373" t="e">
        <f>EtabRCE7[[#This Row],[ETPT notifiés en 2021 au titre des programmes 150 et 2312]]/EtabRCE7[[#This Row],[étudiants inscrits 2020-2021]]*100</f>
        <v>#DIV/0!</v>
      </c>
      <c r="X28" s="374">
        <f t="shared" si="0"/>
        <v>71048.284931506845</v>
      </c>
      <c r="Y28" s="374"/>
      <c r="Z28" s="374"/>
      <c r="AA28" s="374"/>
      <c r="AB28" s="375"/>
      <c r="AC28" s="375"/>
      <c r="AD28" s="375"/>
      <c r="AE28" s="375"/>
      <c r="AF28" s="375"/>
      <c r="AG28" s="375"/>
      <c r="AH28" s="375"/>
      <c r="AI28" s="375"/>
      <c r="AJ28" s="375"/>
      <c r="AK28" s="375"/>
      <c r="AL28" s="375"/>
      <c r="AM28" s="375"/>
      <c r="AN28" s="375"/>
      <c r="AO28" s="375"/>
    </row>
    <row r="29" spans="1:41">
      <c r="A29" s="116" t="s">
        <v>331</v>
      </c>
      <c r="B29" s="313" t="s">
        <v>39</v>
      </c>
      <c r="C29" s="127" t="s">
        <v>92</v>
      </c>
      <c r="D29" s="168">
        <v>45573496</v>
      </c>
      <c r="E29" s="171">
        <v>45327881</v>
      </c>
      <c r="F29" s="169">
        <v>45488421</v>
      </c>
      <c r="G29" s="321">
        <v>46204688</v>
      </c>
      <c r="H29" s="117">
        <f>(EtabRCE7[[#This Row],[masse salariale 2022 affectée par le vote du CNESER du 15/11/2021 (150 et 231) en euros]]-EtabRCE7[[#This Row],[masse salariale 2021 affectée par le vote du CNESER du 24/11/2020 (150 et 231) en euros]])/EtabRCE7[[#This Row],[masse salariale 2021 affectée par le vote du CNESER du 24/11/2020 (150 et 231) en euros]]</f>
        <v>1.574613900095587E-2</v>
      </c>
      <c r="I29" s="168">
        <v>50620574</v>
      </c>
      <c r="J29" s="171">
        <v>48779656</v>
      </c>
      <c r="K29" s="172">
        <v>48940196</v>
      </c>
      <c r="L29" s="317">
        <v>49781136</v>
      </c>
      <c r="M29" s="117">
        <f>(EtabRCE7[[#This Row],[SCSP notifiées en CP votées par le CNESER en 2021pour 2022]]-EtabRCE7[[#This Row],[SCSP notifiées en CP votées par le CNESER en 2020 pour 2021]])/EtabRCE7[[#This Row],[SCSP notifiées en CP votées par le CNESER en 2020 pour 2021]]</f>
        <v>1.7183012507755384E-2</v>
      </c>
      <c r="N29" s="168">
        <v>667</v>
      </c>
      <c r="O29" s="171">
        <v>658</v>
      </c>
      <c r="P29" s="169">
        <v>658</v>
      </c>
      <c r="Q29" s="169"/>
      <c r="R29" s="318">
        <v>3085</v>
      </c>
      <c r="S29" s="319">
        <v>2970</v>
      </c>
      <c r="T29" s="320">
        <v>2917</v>
      </c>
      <c r="U29" s="320"/>
      <c r="V29" s="118">
        <f>EtabRCE7[[#This Row],[SCSP notifiées en CP votées par le CNESER en 2020 pour 2021]]/EtabRCE7[[#This Row],[étudiants inscrits 2020-2021]]</f>
        <v>16777.578333904698</v>
      </c>
      <c r="W29" s="119">
        <f>EtabRCE7[[#This Row],[ETPT notifiés en 2021 au titre des programmes 150 et 2312]]/EtabRCE7[[#This Row],[étudiants inscrits 2020-2021]]*100</f>
        <v>22.557422008913267</v>
      </c>
      <c r="X29" s="120">
        <f t="shared" si="0"/>
        <v>69260.632218844985</v>
      </c>
      <c r="Y29" s="120"/>
      <c r="Z29" s="120"/>
      <c r="AA29" s="120"/>
      <c r="AB29" s="115" t="s">
        <v>121</v>
      </c>
      <c r="AC29" s="114"/>
      <c r="AD29" s="114"/>
      <c r="AE29" s="114"/>
      <c r="AF29" s="114"/>
      <c r="AG29" s="114"/>
      <c r="AH29" s="114"/>
      <c r="AI29" s="114"/>
      <c r="AJ29" s="114"/>
      <c r="AK29" s="114"/>
      <c r="AL29" s="114"/>
      <c r="AM29" s="114"/>
      <c r="AN29" s="114"/>
      <c r="AO29" s="114"/>
    </row>
    <row r="30" spans="1:41" s="376" customFormat="1">
      <c r="A30" s="363" t="s">
        <v>206</v>
      </c>
      <c r="B30" s="364" t="s">
        <v>6</v>
      </c>
      <c r="C30" s="365" t="s">
        <v>279</v>
      </c>
      <c r="D30" s="366">
        <v>72540434</v>
      </c>
      <c r="E30" s="366">
        <v>75800616</v>
      </c>
      <c r="F30" s="366">
        <v>76063504</v>
      </c>
      <c r="G30" s="378">
        <v>76780395</v>
      </c>
      <c r="H30" s="368">
        <f>(EtabRCE7[[#This Row],[masse salariale 2022 affectée par le vote du CNESER du 15/11/2021 (150 et 231) en euros]]-EtabRCE7[[#This Row],[masse salariale 2021 affectée par le vote du CNESER du 24/11/2020 (150 et 231) en euros]])/EtabRCE7[[#This Row],[masse salariale 2021 affectée par le vote du CNESER du 24/11/2020 (150 et 231) en euros]]</f>
        <v>9.4249010668769617E-3</v>
      </c>
      <c r="I30" s="366">
        <v>86344858</v>
      </c>
      <c r="J30" s="366">
        <v>88138296</v>
      </c>
      <c r="K30" s="369">
        <v>88393245</v>
      </c>
      <c r="L30" s="370">
        <v>89422037</v>
      </c>
      <c r="M30" s="368">
        <f>(EtabRCE7[[#This Row],[SCSP notifiées en CP votées par le CNESER en 2021pour 2022]]-EtabRCE7[[#This Row],[SCSP notifiées en CP votées par le CNESER en 2020 pour 2021]])/EtabRCE7[[#This Row],[SCSP notifiées en CP votées par le CNESER en 2020 pour 2021]]</f>
        <v>1.16388079202206E-2</v>
      </c>
      <c r="N30" s="366">
        <v>1395</v>
      </c>
      <c r="O30" s="366">
        <v>1387</v>
      </c>
      <c r="P30" s="366">
        <v>1387</v>
      </c>
      <c r="Q30" s="366"/>
      <c r="R30" s="363">
        <v>2019</v>
      </c>
      <c r="S30" s="371">
        <v>2399</v>
      </c>
      <c r="T30" s="363">
        <v>2366</v>
      </c>
      <c r="U30" s="363"/>
      <c r="V30" s="372">
        <f>EtabRCE7[[#This Row],[SCSP notifiées en CP votées par le CNESER en 2020 pour 2021]]/EtabRCE7[[#This Row],[étudiants inscrits 2020-2021]]</f>
        <v>37359.78233305156</v>
      </c>
      <c r="W30" s="373">
        <f>EtabRCE7[[#This Row],[ETPT notifiés en 2021 au titre des programmes 150 et 2312]]/EtabRCE7[[#This Row],[étudiants inscrits 2020-2021]]*100</f>
        <v>58.622147083685547</v>
      </c>
      <c r="X30" s="374">
        <f t="shared" si="0"/>
        <v>52300.240807498194</v>
      </c>
      <c r="Y30" s="374"/>
      <c r="Z30" s="374"/>
      <c r="AA30" s="374"/>
      <c r="AB30" s="375"/>
      <c r="AC30" s="364" t="s">
        <v>118</v>
      </c>
      <c r="AD30" s="364" t="s">
        <v>119</v>
      </c>
      <c r="AE30" s="346" t="s">
        <v>120</v>
      </c>
      <c r="AF30" s="375"/>
      <c r="AG30" s="375"/>
      <c r="AH30" s="375"/>
      <c r="AI30" s="375"/>
      <c r="AJ30" s="375"/>
      <c r="AK30" s="375"/>
      <c r="AL30" s="375"/>
      <c r="AM30" s="375"/>
      <c r="AN30" s="375"/>
      <c r="AO30" s="375"/>
    </row>
    <row r="31" spans="1:41">
      <c r="A31" s="116" t="s">
        <v>206</v>
      </c>
      <c r="B31" s="313" t="s">
        <v>6</v>
      </c>
      <c r="C31" s="127" t="s">
        <v>93</v>
      </c>
      <c r="D31" s="168">
        <v>101000661</v>
      </c>
      <c r="E31" s="171">
        <v>104527701</v>
      </c>
      <c r="F31" s="169">
        <v>104804240</v>
      </c>
      <c r="G31" s="321">
        <v>105737605</v>
      </c>
      <c r="H31" s="117">
        <f>(EtabRCE7[[#This Row],[masse salariale 2022 affectée par le vote du CNESER du 15/11/2021 (150 et 231) en euros]]-EtabRCE7[[#This Row],[masse salariale 2021 affectée par le vote du CNESER du 24/11/2020 (150 et 231) en euros]])/EtabRCE7[[#This Row],[masse salariale 2021 affectée par le vote du CNESER du 24/11/2020 (150 et 231) en euros]]</f>
        <v>8.9057942693921543E-3</v>
      </c>
      <c r="I31" s="168">
        <v>115750080</v>
      </c>
      <c r="J31" s="171">
        <v>117372087</v>
      </c>
      <c r="K31" s="172">
        <v>117692112</v>
      </c>
      <c r="L31" s="317">
        <v>118907188</v>
      </c>
      <c r="M31" s="117">
        <f>(EtabRCE7[[#This Row],[SCSP notifiées en CP votées par le CNESER en 2021pour 2022]]-EtabRCE7[[#This Row],[SCSP notifiées en CP votées par le CNESER en 2020 pour 2021]])/EtabRCE7[[#This Row],[SCSP notifiées en CP votées par le CNESER en 2020 pour 2021]]</f>
        <v>1.032419232989888E-2</v>
      </c>
      <c r="N31" s="168">
        <v>1986</v>
      </c>
      <c r="O31" s="171">
        <v>1977</v>
      </c>
      <c r="P31" s="169">
        <v>1977</v>
      </c>
      <c r="Q31" s="169"/>
      <c r="R31" s="318">
        <v>1963</v>
      </c>
      <c r="S31" s="319">
        <v>2102</v>
      </c>
      <c r="T31" s="320">
        <v>2169</v>
      </c>
      <c r="U31" s="320"/>
      <c r="V31" s="118">
        <f>EtabRCE7[[#This Row],[SCSP notifiées en CP votées par le CNESER en 2020 pour 2021]]/EtabRCE7[[#This Row],[étudiants inscrits 2020-2021]]</f>
        <v>54261.001383125862</v>
      </c>
      <c r="W31" s="119">
        <f>EtabRCE7[[#This Row],[ETPT notifiés en 2021 au titre des programmes 150 et 2312]]/EtabRCE7[[#This Row],[étudiants inscrits 2020-2021]]*100</f>
        <v>91.147994467496545</v>
      </c>
      <c r="X31" s="120">
        <f t="shared" si="0"/>
        <v>51087.840667678298</v>
      </c>
      <c r="Y31" s="120"/>
      <c r="Z31" s="120"/>
      <c r="AA31" s="120"/>
      <c r="AB31" s="114"/>
      <c r="AC31" s="313"/>
      <c r="AD31" s="313"/>
      <c r="AE31" s="346"/>
      <c r="AF31" s="114"/>
      <c r="AG31" s="114"/>
      <c r="AH31" s="114"/>
      <c r="AI31" s="114"/>
      <c r="AJ31" s="114"/>
      <c r="AK31" s="114"/>
      <c r="AL31" s="114"/>
      <c r="AM31" s="114"/>
      <c r="AN31" s="114"/>
      <c r="AO31" s="114"/>
    </row>
    <row r="32" spans="1:41" s="376" customFormat="1">
      <c r="A32" s="363" t="s">
        <v>206</v>
      </c>
      <c r="B32" s="364" t="s">
        <v>4</v>
      </c>
      <c r="C32" s="365" t="s">
        <v>189</v>
      </c>
      <c r="D32" s="366">
        <v>72535688</v>
      </c>
      <c r="E32" s="366">
        <v>75536917</v>
      </c>
      <c r="F32" s="366">
        <v>75697560</v>
      </c>
      <c r="G32" s="378">
        <v>76307686</v>
      </c>
      <c r="H32" s="368">
        <f>(EtabRCE7[[#This Row],[masse salariale 2022 affectée par le vote du CNESER du 15/11/2021 (150 et 231) en euros]]-EtabRCE7[[#This Row],[masse salariale 2021 affectée par le vote du CNESER du 24/11/2020 (150 et 231) en euros]])/EtabRCE7[[#This Row],[masse salariale 2021 affectée par le vote du CNESER du 24/11/2020 (150 et 231) en euros]]</f>
        <v>8.0600484348504753E-3</v>
      </c>
      <c r="I32" s="366">
        <v>80427767</v>
      </c>
      <c r="J32" s="366">
        <v>83636857</v>
      </c>
      <c r="K32" s="369">
        <v>83782187</v>
      </c>
      <c r="L32" s="370">
        <v>84435071</v>
      </c>
      <c r="M32" s="368">
        <f>(EtabRCE7[[#This Row],[SCSP notifiées en CP votées par le CNESER en 2021pour 2022]]-EtabRCE7[[#This Row],[SCSP notifiées en CP votées par le CNESER en 2020 pour 2021]])/EtabRCE7[[#This Row],[SCSP notifiées en CP votées par le CNESER en 2020 pour 2021]]</f>
        <v>7.7926349666666015E-3</v>
      </c>
      <c r="N32" s="366">
        <v>1450</v>
      </c>
      <c r="O32" s="366">
        <v>1450</v>
      </c>
      <c r="P32" s="366">
        <v>1450</v>
      </c>
      <c r="Q32" s="366"/>
      <c r="R32" s="363">
        <v>841</v>
      </c>
      <c r="S32" s="371">
        <v>1242</v>
      </c>
      <c r="T32" s="363">
        <v>1247</v>
      </c>
      <c r="U32" s="363"/>
      <c r="V32" s="372">
        <f>EtabRCE7[[#This Row],[SCSP notifiées en CP votées par le CNESER en 2020 pour 2021]]/EtabRCE7[[#This Row],[étudiants inscrits 2020-2021]]</f>
        <v>67186.998396150768</v>
      </c>
      <c r="W32" s="373">
        <f>EtabRCE7[[#This Row],[ETPT notifiés en 2021 au titre des programmes 150 et 2312]]/EtabRCE7[[#This Row],[étudiants inscrits 2020-2021]]*100</f>
        <v>116.27906976744187</v>
      </c>
      <c r="X32" s="374">
        <f t="shared" si="0"/>
        <v>50024.612413793104</v>
      </c>
      <c r="Y32" s="374"/>
      <c r="Z32" s="374"/>
      <c r="AA32" s="374"/>
      <c r="AB32" s="379" t="s">
        <v>98</v>
      </c>
      <c r="AC32" s="379" t="s">
        <v>99</v>
      </c>
      <c r="AD32" s="379" t="s">
        <v>100</v>
      </c>
      <c r="AE32" s="379" t="s">
        <v>101</v>
      </c>
      <c r="AF32" s="375"/>
      <c r="AG32" s="375"/>
      <c r="AH32" s="375"/>
      <c r="AI32" s="375"/>
      <c r="AJ32" s="375"/>
      <c r="AK32" s="375"/>
      <c r="AL32" s="375"/>
      <c r="AM32" s="375"/>
      <c r="AN32" s="375"/>
      <c r="AO32" s="375"/>
    </row>
    <row r="33" spans="1:41">
      <c r="A33" s="116" t="s">
        <v>206</v>
      </c>
      <c r="B33" s="313" t="s">
        <v>68</v>
      </c>
      <c r="C33" s="127" t="s">
        <v>94</v>
      </c>
      <c r="D33" s="168">
        <v>17869126</v>
      </c>
      <c r="E33" s="171">
        <v>18817163</v>
      </c>
      <c r="F33" s="169">
        <v>18845470</v>
      </c>
      <c r="G33" s="321">
        <v>18997439</v>
      </c>
      <c r="H33" s="117">
        <f>(EtabRCE7[[#This Row],[masse salariale 2022 affectée par le vote du CNESER du 15/11/2021 (150 et 231) en euros]]-EtabRCE7[[#This Row],[masse salariale 2021 affectée par le vote du CNESER du 24/11/2020 (150 et 231) en euros]])/EtabRCE7[[#This Row],[masse salariale 2021 affectée par le vote du CNESER du 24/11/2020 (150 et 231) en euros]]</f>
        <v>8.0639538308145148E-3</v>
      </c>
      <c r="I33" s="168">
        <v>19594524</v>
      </c>
      <c r="J33" s="171">
        <v>20154668</v>
      </c>
      <c r="K33" s="172">
        <v>20185204</v>
      </c>
      <c r="L33" s="317">
        <v>20347441</v>
      </c>
      <c r="M33" s="117">
        <f>(EtabRCE7[[#This Row],[SCSP notifiées en CP votées par le CNESER en 2021pour 2022]]-EtabRCE7[[#This Row],[SCSP notifiées en CP votées par le CNESER en 2020 pour 2021]])/EtabRCE7[[#This Row],[SCSP notifiées en CP votées par le CNESER en 2020 pour 2021]]</f>
        <v>8.0374218660361329E-3</v>
      </c>
      <c r="N33" s="168">
        <v>372</v>
      </c>
      <c r="O33" s="171">
        <v>372</v>
      </c>
      <c r="P33" s="169">
        <v>372</v>
      </c>
      <c r="Q33" s="169"/>
      <c r="R33" s="318">
        <v>384</v>
      </c>
      <c r="S33" s="319">
        <v>384</v>
      </c>
      <c r="T33" s="320">
        <v>486</v>
      </c>
      <c r="U33" s="320"/>
      <c r="V33" s="118">
        <f>EtabRCE7[[#This Row],[SCSP notifiées en CP votées par le CNESER en 2020 pour 2021]]/EtabRCE7[[#This Row],[étudiants inscrits 2020-2021]]</f>
        <v>41533.341563786009</v>
      </c>
      <c r="W33" s="119">
        <f>EtabRCE7[[#This Row],[ETPT notifiés en 2021 au titre des programmes 150 et 2312]]/EtabRCE7[[#This Row],[étudiants inscrits 2020-2021]]*100</f>
        <v>76.543209876543202</v>
      </c>
      <c r="X33" s="120">
        <f t="shared" si="0"/>
        <v>48035.284946236556</v>
      </c>
      <c r="Y33" s="120"/>
      <c r="Z33" s="120"/>
      <c r="AA33" s="120"/>
      <c r="AB33" s="313" t="s">
        <v>102</v>
      </c>
      <c r="AC33" s="313" t="s">
        <v>103</v>
      </c>
      <c r="AD33" s="313" t="s">
        <v>104</v>
      </c>
      <c r="AE33" s="313" t="s">
        <v>105</v>
      </c>
      <c r="AF33" s="114"/>
      <c r="AG33" s="114"/>
      <c r="AH33" s="114"/>
      <c r="AI33" s="114"/>
      <c r="AJ33" s="114"/>
      <c r="AK33" s="114"/>
      <c r="AL33" s="114"/>
      <c r="AM33" s="114"/>
      <c r="AN33" s="114"/>
      <c r="AO33" s="114"/>
    </row>
    <row r="34" spans="1:41" s="376" customFormat="1">
      <c r="A34" s="363" t="s">
        <v>331</v>
      </c>
      <c r="B34" s="364" t="s">
        <v>8</v>
      </c>
      <c r="C34" s="365" t="s">
        <v>95</v>
      </c>
      <c r="D34" s="366">
        <v>30231903</v>
      </c>
      <c r="E34" s="366">
        <v>30089532</v>
      </c>
      <c r="F34" s="366">
        <v>30209331</v>
      </c>
      <c r="G34" s="378">
        <v>30846498</v>
      </c>
      <c r="H34" s="368">
        <f>(EtabRCE7[[#This Row],[masse salariale 2022 affectée par le vote du CNESER du 15/11/2021 (150 et 231) en euros]]-EtabRCE7[[#This Row],[masse salariale 2021 affectée par le vote du CNESER du 24/11/2020 (150 et 231) en euros]])/EtabRCE7[[#This Row],[masse salariale 2021 affectée par le vote du CNESER du 24/11/2020 (150 et 231) en euros]]</f>
        <v>2.1091728247805291E-2</v>
      </c>
      <c r="I34" s="366">
        <v>32987400</v>
      </c>
      <c r="J34" s="366">
        <v>33122103</v>
      </c>
      <c r="K34" s="369">
        <v>33245902</v>
      </c>
      <c r="L34" s="370">
        <v>33717237</v>
      </c>
      <c r="M34" s="368">
        <f>(EtabRCE7[[#This Row],[SCSP notifiées en CP votées par le CNESER en 2021pour 2022]]-EtabRCE7[[#This Row],[SCSP notifiées en CP votées par le CNESER en 2020 pour 2021]])/EtabRCE7[[#This Row],[SCSP notifiées en CP votées par le CNESER en 2020 pour 2021]]</f>
        <v>1.4177236039497439E-2</v>
      </c>
      <c r="N34" s="366">
        <v>378</v>
      </c>
      <c r="O34" s="366">
        <v>373</v>
      </c>
      <c r="P34" s="366">
        <v>373</v>
      </c>
      <c r="Q34" s="366"/>
      <c r="R34" s="363">
        <v>916</v>
      </c>
      <c r="S34" s="366">
        <v>1116</v>
      </c>
      <c r="T34" s="363">
        <v>1115</v>
      </c>
      <c r="U34" s="363"/>
      <c r="V34" s="372">
        <f>EtabRCE7[[#This Row],[SCSP notifiées en CP votées par le CNESER en 2020 pour 2021]]/EtabRCE7[[#This Row],[étudiants inscrits 2020-2021]]</f>
        <v>29816.952466367715</v>
      </c>
      <c r="W34" s="373">
        <f>EtabRCE7[[#This Row],[ETPT notifiés en 2021 au titre des programmes 150 et 2312]]/EtabRCE7[[#This Row],[étudiants inscrits 2020-2021]]*100</f>
        <v>33.45291479820628</v>
      </c>
      <c r="X34" s="374">
        <f t="shared" si="0"/>
        <v>81050.678284182301</v>
      </c>
      <c r="Y34" s="374"/>
      <c r="Z34" s="374"/>
      <c r="AA34" s="374"/>
      <c r="AB34" s="364" t="s">
        <v>106</v>
      </c>
      <c r="AC34" s="364" t="s">
        <v>107</v>
      </c>
      <c r="AD34" s="364" t="s">
        <v>108</v>
      </c>
      <c r="AE34" s="364" t="s">
        <v>109</v>
      </c>
      <c r="AF34" s="375"/>
      <c r="AG34" s="375"/>
      <c r="AH34" s="375"/>
      <c r="AI34" s="375"/>
      <c r="AJ34" s="375"/>
      <c r="AK34" s="375"/>
      <c r="AL34" s="375"/>
      <c r="AM34" s="375"/>
      <c r="AN34" s="375"/>
      <c r="AO34" s="375"/>
    </row>
    <row r="35" spans="1:41">
      <c r="A35" s="116" t="s">
        <v>206</v>
      </c>
      <c r="B35" s="313" t="s">
        <v>96</v>
      </c>
      <c r="C35" s="127" t="s">
        <v>97</v>
      </c>
      <c r="D35" s="168">
        <v>24986588</v>
      </c>
      <c r="E35" s="171">
        <v>24198728</v>
      </c>
      <c r="F35" s="169">
        <v>24309067</v>
      </c>
      <c r="G35" s="321">
        <v>25039131</v>
      </c>
      <c r="H35" s="117">
        <f>(EtabRCE7[[#This Row],[masse salariale 2022 affectée par le vote du CNESER du 15/11/2021 (150 et 231) en euros]]-EtabRCE7[[#This Row],[masse salariale 2021 affectée par le vote du CNESER du 24/11/2020 (150 et 231) en euros]])/EtabRCE7[[#This Row],[masse salariale 2021 affectée par le vote du CNESER du 24/11/2020 (150 et 231) en euros]]</f>
        <v>3.0032580024564496E-2</v>
      </c>
      <c r="I35" s="168">
        <v>30304826</v>
      </c>
      <c r="J35" s="171">
        <v>30259032</v>
      </c>
      <c r="K35" s="172">
        <v>30149371</v>
      </c>
      <c r="L35" s="317">
        <v>30740493</v>
      </c>
      <c r="M35" s="117">
        <f>(EtabRCE7[[#This Row],[SCSP notifiées en CP votées par le CNESER en 2021pour 2022]]-EtabRCE7[[#This Row],[SCSP notifiées en CP votées par le CNESER en 2020 pour 2021]])/EtabRCE7[[#This Row],[SCSP notifiées en CP votées par le CNESER en 2020 pour 2021]]</f>
        <v>1.9606445520870069E-2</v>
      </c>
      <c r="N35" s="168">
        <v>348</v>
      </c>
      <c r="O35" s="171">
        <v>346</v>
      </c>
      <c r="P35" s="169">
        <v>346</v>
      </c>
      <c r="Q35" s="169"/>
      <c r="R35" s="318">
        <v>98</v>
      </c>
      <c r="S35" s="171">
        <v>90</v>
      </c>
      <c r="T35" s="320">
        <v>92</v>
      </c>
      <c r="U35" s="320"/>
      <c r="V35" s="118">
        <f>EtabRCE7[[#This Row],[SCSP notifiées en CP votées par le CNESER en 2020 pour 2021]]/EtabRCE7[[#This Row],[étudiants inscrits 2020-2021]]</f>
        <v>327710.55434782611</v>
      </c>
      <c r="W35" s="119">
        <f>EtabRCE7[[#This Row],[ETPT notifiés en 2021 au titre des programmes 150 et 2312]]/EtabRCE7[[#This Row],[étudiants inscrits 2020-2021]]*100</f>
        <v>376.08695652173913</v>
      </c>
      <c r="X35" s="120">
        <f t="shared" si="0"/>
        <v>72215.57225433526</v>
      </c>
      <c r="Y35" s="120"/>
      <c r="Z35" s="120"/>
      <c r="AA35" s="120"/>
      <c r="AB35" s="122" t="s">
        <v>110</v>
      </c>
      <c r="AC35" s="122">
        <v>27</v>
      </c>
      <c r="AD35" s="122">
        <v>12</v>
      </c>
      <c r="AE35" s="122">
        <v>17</v>
      </c>
      <c r="AF35" s="114"/>
      <c r="AG35" s="114"/>
      <c r="AH35" s="114"/>
      <c r="AI35" s="114"/>
      <c r="AJ35" s="114"/>
      <c r="AK35" s="114"/>
      <c r="AL35" s="114"/>
      <c r="AM35" s="114"/>
      <c r="AN35" s="114"/>
      <c r="AO35" s="114"/>
    </row>
    <row r="36" spans="1:41">
      <c r="A36" s="322" t="s">
        <v>206</v>
      </c>
      <c r="B36" s="323" t="s">
        <v>61</v>
      </c>
      <c r="C36" s="323" t="s">
        <v>391</v>
      </c>
      <c r="D36" s="324">
        <f>SUM(D27:D35)</f>
        <v>482789833</v>
      </c>
      <c r="E36" s="325">
        <f>SUM(E27:E35)</f>
        <v>492900084</v>
      </c>
      <c r="F36" s="326">
        <f>SUM(F27:F35)</f>
        <v>495148313</v>
      </c>
      <c r="G36" s="327">
        <f t="shared" ref="G36" si="1">SUM(G27:G35)</f>
        <v>502628727</v>
      </c>
      <c r="H36" s="328">
        <f>(G36-F36)/F36</f>
        <v>1.5107420955708679E-2</v>
      </c>
      <c r="I36" s="324">
        <v>560252703</v>
      </c>
      <c r="J36" s="325">
        <f>SUM(J27:J35)</f>
        <v>565219023</v>
      </c>
      <c r="K36" s="326">
        <f>SUM(K27:K35)</f>
        <v>567457086</v>
      </c>
      <c r="L36" s="327">
        <f>SUM(L27:L35)</f>
        <v>575738794</v>
      </c>
      <c r="M36" s="329">
        <f>(L36-K36)/K36</f>
        <v>1.45944216828407E-2</v>
      </c>
      <c r="N36" s="330">
        <f>SUM(N27:N35)</f>
        <v>8340</v>
      </c>
      <c r="O36" s="331">
        <f t="shared" ref="O36:P36" si="2">SUM(O27:O35)</f>
        <v>8312</v>
      </c>
      <c r="P36" s="332">
        <f t="shared" si="2"/>
        <v>8312</v>
      </c>
      <c r="Q36" s="333"/>
      <c r="R36" s="330">
        <f t="shared" ref="R36:S36" si="3">SUM(R27:R35)</f>
        <v>9306</v>
      </c>
      <c r="S36" s="331">
        <f t="shared" si="3"/>
        <v>10303</v>
      </c>
      <c r="T36" s="332">
        <f>SUM(T27:T35)</f>
        <v>10392</v>
      </c>
      <c r="U36" s="333"/>
      <c r="V36" s="123">
        <f>K36/T36</f>
        <v>54605.185334872978</v>
      </c>
      <c r="W36" s="124">
        <f>SUM(P29:P35)/P36*100</f>
        <v>78.958132820019244</v>
      </c>
      <c r="X36" s="120">
        <f>D36/O36</f>
        <v>58083.473652550529</v>
      </c>
      <c r="Y36" s="122" t="s">
        <v>111</v>
      </c>
      <c r="Z36" s="122">
        <v>40</v>
      </c>
      <c r="AA36" s="122"/>
      <c r="AB36" s="122">
        <v>40</v>
      </c>
      <c r="AC36" s="114"/>
      <c r="AD36" s="114"/>
      <c r="AE36" s="114"/>
      <c r="AF36" s="114"/>
      <c r="AG36" s="114"/>
      <c r="AH36" s="114"/>
      <c r="AI36" s="114"/>
      <c r="AJ36" s="114"/>
      <c r="AK36" s="114"/>
      <c r="AL36" s="114"/>
      <c r="AM36" s="114"/>
      <c r="AN36" s="114"/>
    </row>
    <row r="37" spans="1:41">
      <c r="A37" s="322" t="s">
        <v>205</v>
      </c>
      <c r="B37" s="323" t="s">
        <v>89</v>
      </c>
      <c r="C37" s="323" t="s">
        <v>391</v>
      </c>
      <c r="D37" s="324">
        <f>SUM(D3:D26)</f>
        <v>567438248</v>
      </c>
      <c r="E37" s="325">
        <f>SUM(E3:E26)</f>
        <v>569769603</v>
      </c>
      <c r="F37" s="326">
        <f>SUM(F3:F26)</f>
        <v>589241455</v>
      </c>
      <c r="G37" s="327">
        <f>SUM(G3:G26)</f>
        <v>597286329</v>
      </c>
      <c r="H37" s="328">
        <f t="shared" ref="H37:H38" si="4">(G37-F37)/F37</f>
        <v>1.3652932820213744E-2</v>
      </c>
      <c r="I37" s="324">
        <v>642620718</v>
      </c>
      <c r="J37" s="325">
        <f>SUM(J3:J26)</f>
        <v>645373869</v>
      </c>
      <c r="K37" s="326">
        <f>SUM(K3:K26)</f>
        <v>666644106</v>
      </c>
      <c r="L37" s="327">
        <f>SUM(L3:L26)</f>
        <v>673870701</v>
      </c>
      <c r="M37" s="329">
        <f>(L37-K37)/K37</f>
        <v>1.0840259345216501E-2</v>
      </c>
      <c r="N37" s="330">
        <f>SUM(N3:N26)</f>
        <v>8418</v>
      </c>
      <c r="O37" s="331">
        <f t="shared" ref="O37" si="5">SUM(O3:O26)</f>
        <v>8490</v>
      </c>
      <c r="P37" s="344">
        <f>SUM(P3:P26)</f>
        <v>8490</v>
      </c>
      <c r="Q37" s="333"/>
      <c r="R37" s="330">
        <f>SUM(R3:R26)</f>
        <v>53725</v>
      </c>
      <c r="S37" s="331">
        <f t="shared" ref="S37:T37" si="6">SUM(S3:S26)</f>
        <v>53549</v>
      </c>
      <c r="T37" s="332">
        <f t="shared" si="6"/>
        <v>59180</v>
      </c>
      <c r="U37" s="333"/>
      <c r="V37" s="123">
        <f>J37/T37</f>
        <v>10905.269837783035</v>
      </c>
      <c r="W37" s="124">
        <f>P37/T37*100</f>
        <v>14.34606285907401</v>
      </c>
      <c r="X37" s="120">
        <f>D37/O37</f>
        <v>66836.071613663138</v>
      </c>
      <c r="Y37" s="114"/>
      <c r="Z37" s="114"/>
      <c r="AA37" s="114"/>
      <c r="AB37" s="114"/>
      <c r="AC37" s="114"/>
      <c r="AD37" s="114"/>
      <c r="AE37" s="114"/>
      <c r="AF37" s="114"/>
      <c r="AG37" s="114"/>
      <c r="AH37" s="114"/>
      <c r="AI37" s="114"/>
      <c r="AJ37" s="114"/>
      <c r="AK37" s="114"/>
      <c r="AL37" s="114"/>
      <c r="AM37" s="114"/>
      <c r="AN37" s="114"/>
    </row>
    <row r="38" spans="1:41">
      <c r="A38" s="322"/>
      <c r="B38" s="323" t="s">
        <v>219</v>
      </c>
      <c r="C38" s="323" t="s">
        <v>391</v>
      </c>
      <c r="D38" s="324">
        <f>D36+D37</f>
        <v>1050228081</v>
      </c>
      <c r="E38" s="325">
        <f>E36+E37</f>
        <v>1062669687</v>
      </c>
      <c r="F38" s="326">
        <f>F36+F37</f>
        <v>1084389768</v>
      </c>
      <c r="G38" s="327">
        <f>G36+G37</f>
        <v>1099915056</v>
      </c>
      <c r="H38" s="328">
        <f t="shared" si="4"/>
        <v>1.4317073489760187E-2</v>
      </c>
      <c r="I38" s="324">
        <v>1202873421</v>
      </c>
      <c r="J38" s="325">
        <f>J36+J37</f>
        <v>1210592892</v>
      </c>
      <c r="K38" s="326">
        <f>K36+K37</f>
        <v>1234101192</v>
      </c>
      <c r="L38" s="327">
        <f>L36+L37</f>
        <v>1249609495</v>
      </c>
      <c r="M38" s="329">
        <f>(L38-K38)/K38</f>
        <v>1.2566475991216772E-2</v>
      </c>
      <c r="N38" s="330">
        <f>N36+N37</f>
        <v>16758</v>
      </c>
      <c r="O38" s="331">
        <f t="shared" ref="O38:P38" si="7">O36+O37</f>
        <v>16802</v>
      </c>
      <c r="P38" s="332">
        <f t="shared" si="7"/>
        <v>16802</v>
      </c>
      <c r="Q38" s="333"/>
      <c r="R38" s="330">
        <f>R36+R37</f>
        <v>63031</v>
      </c>
      <c r="S38" s="331">
        <f t="shared" ref="S38:T38" si="8">S36+S37</f>
        <v>63852</v>
      </c>
      <c r="T38" s="332">
        <f t="shared" si="8"/>
        <v>69572</v>
      </c>
      <c r="U38" s="333"/>
      <c r="V38" s="123">
        <f>J38/T38</f>
        <v>17400.576266314034</v>
      </c>
      <c r="W38" s="124">
        <f>P38/T38*100</f>
        <v>24.150520324268385</v>
      </c>
      <c r="X38" s="120">
        <f>F38/P38</f>
        <v>64539.326746815852</v>
      </c>
      <c r="Y38" s="121" t="s">
        <v>112</v>
      </c>
      <c r="Z38" s="313"/>
      <c r="AA38" s="121" t="s">
        <v>113</v>
      </c>
      <c r="AB38" s="121" t="s">
        <v>114</v>
      </c>
      <c r="AC38" s="114"/>
      <c r="AD38" s="114"/>
      <c r="AE38" s="114"/>
      <c r="AF38" s="114"/>
      <c r="AG38" s="114"/>
      <c r="AH38" s="114"/>
      <c r="AI38" s="114"/>
      <c r="AJ38" s="114"/>
      <c r="AK38" s="114"/>
      <c r="AL38" s="114"/>
      <c r="AM38" s="114"/>
      <c r="AN38" s="114"/>
    </row>
    <row r="39" spans="1:41">
      <c r="A39" s="334"/>
      <c r="B39" s="335"/>
      <c r="C39" s="336"/>
      <c r="D39" s="337"/>
      <c r="E39" s="337"/>
      <c r="F39" s="337"/>
      <c r="G39" s="338"/>
      <c r="H39" s="337"/>
      <c r="I39" s="337"/>
      <c r="J39" s="337"/>
      <c r="K39" s="337"/>
      <c r="L39" s="339"/>
      <c r="M39" s="340"/>
      <c r="N39" s="341"/>
      <c r="O39" s="341"/>
      <c r="P39" s="341"/>
      <c r="Q39" s="341"/>
      <c r="R39" s="334"/>
      <c r="S39" s="334"/>
      <c r="T39" s="334"/>
      <c r="U39" s="334"/>
      <c r="V39" s="334"/>
      <c r="W39" s="334"/>
      <c r="X39" s="334"/>
      <c r="Y39" s="342"/>
      <c r="Z39" s="335"/>
      <c r="AA39" s="342"/>
      <c r="AB39" s="342"/>
      <c r="AC39" s="334"/>
      <c r="AD39" s="334"/>
      <c r="AE39" s="334"/>
      <c r="AF39" s="334"/>
      <c r="AG39" s="334"/>
      <c r="AH39" s="334"/>
      <c r="AI39" s="334"/>
      <c r="AJ39" s="334"/>
      <c r="AK39" s="334"/>
      <c r="AL39" s="334"/>
      <c r="AM39" s="334"/>
      <c r="AN39" s="334"/>
      <c r="AO39" s="343"/>
    </row>
    <row r="40" spans="1:41">
      <c r="A40" s="114"/>
      <c r="B40" s="114"/>
      <c r="C40" s="114"/>
      <c r="D40" s="236">
        <v>2019</v>
      </c>
      <c r="E40" s="237">
        <v>2020</v>
      </c>
      <c r="F40" s="238">
        <v>2021</v>
      </c>
      <c r="G40" s="114">
        <v>2022</v>
      </c>
      <c r="H40" s="114" t="s">
        <v>408</v>
      </c>
      <c r="I40" s="236">
        <v>2019</v>
      </c>
      <c r="J40" s="237">
        <v>2020</v>
      </c>
      <c r="K40" s="238">
        <v>2021</v>
      </c>
      <c r="L40" s="334">
        <v>2022</v>
      </c>
      <c r="M40" s="334" t="s">
        <v>408</v>
      </c>
      <c r="N40" s="236">
        <v>2019</v>
      </c>
      <c r="O40" s="237">
        <v>2020</v>
      </c>
      <c r="P40" s="238">
        <v>2021</v>
      </c>
      <c r="Q40" s="334">
        <v>2022</v>
      </c>
      <c r="R40" s="236">
        <v>2019</v>
      </c>
      <c r="S40" s="237">
        <v>2020</v>
      </c>
      <c r="T40" s="238">
        <v>2021</v>
      </c>
      <c r="U40" s="334">
        <v>2022</v>
      </c>
      <c r="V40" s="114"/>
      <c r="W40" s="114"/>
      <c r="X40" s="114"/>
      <c r="Y40" s="121"/>
      <c r="Z40" s="313"/>
      <c r="AA40" s="121"/>
      <c r="AB40" s="121"/>
      <c r="AC40" s="114"/>
      <c r="AD40" s="114"/>
      <c r="AE40" s="114"/>
      <c r="AF40" s="114"/>
      <c r="AG40" s="114"/>
      <c r="AH40" s="114"/>
      <c r="AI40" s="114"/>
      <c r="AJ40" s="114"/>
      <c r="AK40" s="114"/>
      <c r="AL40" s="114"/>
      <c r="AM40" s="114"/>
      <c r="AN40" s="114"/>
    </row>
    <row r="41" spans="1:41" ht="127">
      <c r="A41" s="127" t="s">
        <v>393</v>
      </c>
      <c r="B41" s="126" t="s">
        <v>62</v>
      </c>
      <c r="C41" s="126" t="s">
        <v>0</v>
      </c>
      <c r="D41" s="239" t="s">
        <v>322</v>
      </c>
      <c r="E41" s="240" t="s">
        <v>321</v>
      </c>
      <c r="F41" s="241" t="s">
        <v>320</v>
      </c>
      <c r="G41" s="126" t="s">
        <v>409</v>
      </c>
      <c r="H41" s="126" t="s">
        <v>410</v>
      </c>
      <c r="I41" s="239" t="s">
        <v>1</v>
      </c>
      <c r="J41" s="240" t="s">
        <v>260</v>
      </c>
      <c r="K41" s="241" t="s">
        <v>330</v>
      </c>
      <c r="L41" s="126" t="s">
        <v>411</v>
      </c>
      <c r="M41" s="314" t="s">
        <v>311</v>
      </c>
      <c r="N41" s="239" t="s">
        <v>64</v>
      </c>
      <c r="O41" s="240" t="s">
        <v>375</v>
      </c>
      <c r="P41" s="241" t="s">
        <v>412</v>
      </c>
      <c r="Q41" s="315" t="s">
        <v>413</v>
      </c>
      <c r="R41" s="239" t="s">
        <v>195</v>
      </c>
      <c r="S41" s="240" t="s">
        <v>333</v>
      </c>
      <c r="T41" s="241" t="s">
        <v>337</v>
      </c>
      <c r="U41" s="315" t="s">
        <v>401</v>
      </c>
      <c r="V41" s="314" t="s">
        <v>179</v>
      </c>
      <c r="W41" s="314" t="s">
        <v>180</v>
      </c>
      <c r="X41" s="314" t="s">
        <v>307</v>
      </c>
      <c r="Y41" s="126" t="s">
        <v>404</v>
      </c>
      <c r="Z41" s="126" t="s">
        <v>405</v>
      </c>
      <c r="AA41" s="126" t="s">
        <v>406</v>
      </c>
      <c r="AB41" s="313" t="s">
        <v>117</v>
      </c>
      <c r="AC41" s="313"/>
      <c r="AD41" s="313"/>
      <c r="AE41" s="114"/>
      <c r="AF41" s="114"/>
      <c r="AG41" s="114"/>
      <c r="AH41" s="114"/>
      <c r="AI41" s="114"/>
      <c r="AJ41" s="114"/>
      <c r="AK41" s="114"/>
      <c r="AL41" s="114"/>
      <c r="AM41" s="114"/>
      <c r="AN41" s="114"/>
      <c r="AO41" s="114"/>
    </row>
    <row r="42" spans="1:41">
      <c r="A42" s="114" t="s">
        <v>414</v>
      </c>
      <c r="B42" s="313" t="s">
        <v>258</v>
      </c>
      <c r="C42" s="125" t="s">
        <v>415</v>
      </c>
      <c r="D42" s="347"/>
      <c r="E42" s="348"/>
      <c r="F42" s="349">
        <v>422547</v>
      </c>
      <c r="G42" s="350">
        <v>424707</v>
      </c>
      <c r="H42" s="351">
        <f>(Tableau58[[#This Row],[masse salariale 2022 affectée par le vote du CNESER du15/11/2021 (150 et 231) en euros]]-Tableau58[[#This Row],[masse salariale 2021 affectée par le vote du CNESER du 24/11/2020 (150 et 231) en euros]])/Tableau58[[#This Row],[masse salariale 2021 affectée par le vote du CNESER du 24/11/2020 (150 et 231) en euros]]</f>
        <v>5.1118573791791213E-3</v>
      </c>
      <c r="I42" s="352"/>
      <c r="J42" s="353"/>
      <c r="K42" s="354">
        <v>20610708</v>
      </c>
      <c r="L42" s="354">
        <v>19861972</v>
      </c>
      <c r="M42" s="351">
        <f>(Tableau58[[#This Row],[SCSP notifiées en CP votées par le CNESER en 2021 pour 2022]]-Tableau58[[#This Row],[SCSP notifiées en CP votées par le CNESER en 2020 pour 2021]])/Tableau58[[#This Row],[SCSP notifiées en CP votées par le CNESER en 2020 pour 2021]]</f>
        <v>-3.6327524508134312E-2</v>
      </c>
      <c r="N42" s="355"/>
      <c r="O42" s="353"/>
      <c r="P42" s="356"/>
      <c r="Q42" s="356"/>
      <c r="R42" s="357"/>
      <c r="S42" s="358"/>
      <c r="T42" s="359"/>
      <c r="U42" s="360"/>
      <c r="V42" s="114"/>
      <c r="W42" s="114"/>
      <c r="X42" s="114"/>
      <c r="Y42" s="114"/>
      <c r="Z42" s="114"/>
      <c r="AA42" s="114"/>
      <c r="AB42" s="121"/>
      <c r="AC42" s="313"/>
      <c r="AD42" s="121"/>
      <c r="AE42" s="121"/>
      <c r="AF42" s="114"/>
      <c r="AG42" s="114"/>
      <c r="AH42" s="114"/>
      <c r="AI42" s="114"/>
      <c r="AJ42" s="114"/>
      <c r="AK42" s="114"/>
      <c r="AL42" s="114"/>
      <c r="AM42" s="114"/>
      <c r="AN42" s="114"/>
      <c r="AO42" s="114"/>
    </row>
    <row r="43" spans="1:41" s="376" customFormat="1">
      <c r="A43" s="375" t="s">
        <v>414</v>
      </c>
      <c r="B43" s="364" t="s">
        <v>258</v>
      </c>
      <c r="C43" s="380" t="s">
        <v>416</v>
      </c>
      <c r="D43" s="381"/>
      <c r="E43" s="381"/>
      <c r="F43" s="381">
        <v>1667</v>
      </c>
      <c r="G43" s="381"/>
      <c r="H43" s="382">
        <f>(Tableau58[[#This Row],[masse salariale 2022 affectée par le vote du CNESER du15/11/2021 (150 et 231) en euros]]-Tableau58[[#This Row],[masse salariale 2021 affectée par le vote du CNESER du 24/11/2020 (150 et 231) en euros]])/Tableau58[[#This Row],[masse salariale 2021 affectée par le vote du CNESER du 24/11/2020 (150 et 231) en euros]]</f>
        <v>-1</v>
      </c>
      <c r="I43" s="383"/>
      <c r="J43" s="383"/>
      <c r="K43" s="383">
        <v>22431</v>
      </c>
      <c r="L43" s="383"/>
      <c r="M43" s="382">
        <f>(Tableau58[[#This Row],[SCSP notifiées en CP votées par le CNESER en 2021 pour 2022]]-Tableau58[[#This Row],[SCSP notifiées en CP votées par le CNESER en 2020 pour 2021]])/Tableau58[[#This Row],[SCSP notifiées en CP votées par le CNESER en 2020 pour 2021]]</f>
        <v>-1</v>
      </c>
      <c r="N43" s="380"/>
      <c r="O43" s="383"/>
      <c r="P43" s="380"/>
      <c r="Q43" s="380"/>
      <c r="R43" s="384"/>
      <c r="S43" s="384"/>
      <c r="T43" s="384"/>
      <c r="U43" s="385"/>
      <c r="V43" s="375"/>
      <c r="W43" s="375"/>
      <c r="X43" s="375"/>
      <c r="Y43" s="375"/>
      <c r="Z43" s="375"/>
      <c r="AA43" s="375"/>
      <c r="AB43" s="379"/>
      <c r="AC43" s="364"/>
      <c r="AD43" s="379"/>
      <c r="AE43" s="379"/>
      <c r="AF43" s="375"/>
      <c r="AG43" s="375"/>
      <c r="AH43" s="375"/>
      <c r="AI43" s="375"/>
      <c r="AJ43" s="375"/>
      <c r="AK43" s="375"/>
      <c r="AL43" s="375"/>
      <c r="AM43" s="375"/>
      <c r="AN43" s="375"/>
      <c r="AO43" s="375"/>
    </row>
    <row r="44" spans="1:41">
      <c r="A44" s="114" t="s">
        <v>414</v>
      </c>
      <c r="B44" s="313" t="s">
        <v>258</v>
      </c>
      <c r="C44" s="125" t="s">
        <v>417</v>
      </c>
      <c r="D44" s="347"/>
      <c r="E44" s="348"/>
      <c r="F44" s="349">
        <v>186484</v>
      </c>
      <c r="G44" s="350">
        <v>187203</v>
      </c>
      <c r="H44" s="351">
        <f>(Tableau58[[#This Row],[masse salariale 2022 affectée par le vote du CNESER du15/11/2021 (150 et 231) en euros]]-Tableau58[[#This Row],[masse salariale 2021 affectée par le vote du CNESER du 24/11/2020 (150 et 231) en euros]])/Tableau58[[#This Row],[masse salariale 2021 affectée par le vote du CNESER du 24/11/2020 (150 et 231) en euros]]</f>
        <v>3.8555586538255291E-3</v>
      </c>
      <c r="I44" s="352"/>
      <c r="J44" s="353"/>
      <c r="K44" s="354">
        <v>223092</v>
      </c>
      <c r="L44" s="354">
        <v>223811</v>
      </c>
      <c r="M44" s="351">
        <f>(Tableau58[[#This Row],[SCSP notifiées en CP votées par le CNESER en 2021 pour 2022]]-Tableau58[[#This Row],[SCSP notifiées en CP votées par le CNESER en 2020 pour 2021]])/Tableau58[[#This Row],[SCSP notifiées en CP votées par le CNESER en 2020 pour 2021]]</f>
        <v>3.2228856256611622E-3</v>
      </c>
      <c r="N44" s="355"/>
      <c r="O44" s="353"/>
      <c r="P44" s="356"/>
      <c r="Q44" s="356"/>
      <c r="R44" s="357"/>
      <c r="S44" s="358"/>
      <c r="T44" s="359"/>
      <c r="U44" s="360"/>
      <c r="V44" s="114"/>
      <c r="W44" s="114"/>
      <c r="X44" s="114"/>
      <c r="Y44" s="114"/>
      <c r="Z44" s="114"/>
      <c r="AA44" s="114"/>
      <c r="AB44" s="121"/>
      <c r="AC44" s="313"/>
      <c r="AD44" s="121"/>
      <c r="AE44" s="121"/>
      <c r="AF44" s="114"/>
      <c r="AG44" s="114"/>
      <c r="AH44" s="114"/>
      <c r="AI44" s="114"/>
      <c r="AJ44" s="114"/>
      <c r="AK44" s="114"/>
      <c r="AL44" s="114"/>
      <c r="AM44" s="114"/>
      <c r="AN44" s="114"/>
      <c r="AO44" s="114"/>
    </row>
    <row r="45" spans="1:41" s="376" customFormat="1">
      <c r="A45" s="375"/>
      <c r="B45" s="364" t="s">
        <v>258</v>
      </c>
      <c r="C45" s="380" t="s">
        <v>289</v>
      </c>
      <c r="D45" s="381"/>
      <c r="E45" s="381"/>
      <c r="F45" s="381">
        <v>1367544</v>
      </c>
      <c r="G45" s="381">
        <v>1374925</v>
      </c>
      <c r="H45" s="382">
        <f>(Tableau58[[#This Row],[masse salariale 2022 affectée par le vote du CNESER du15/11/2021 (150 et 231) en euros]]-Tableau58[[#This Row],[masse salariale 2021 affectée par le vote du CNESER du 24/11/2020 (150 et 231) en euros]])/Tableau58[[#This Row],[masse salariale 2021 affectée par le vote du CNESER du 24/11/2020 (150 et 231) en euros]]</f>
        <v>5.3972669252323876E-3</v>
      </c>
      <c r="I45" s="383"/>
      <c r="J45" s="383">
        <v>8733678</v>
      </c>
      <c r="K45" s="383">
        <v>8738678</v>
      </c>
      <c r="L45" s="383">
        <v>4151059</v>
      </c>
      <c r="M45" s="382">
        <f>(Tableau58[[#This Row],[SCSP notifiées en CP votées par le CNESER en 2021 pour 2022]]-Tableau58[[#This Row],[SCSP notifiées en CP votées par le CNESER en 2020 pour 2021]])/Tableau58[[#This Row],[SCSP notifiées en CP votées par le CNESER en 2020 pour 2021]]</f>
        <v>-0.52497860660388218</v>
      </c>
      <c r="N45" s="380"/>
      <c r="O45" s="386"/>
      <c r="P45" s="380"/>
      <c r="Q45" s="380"/>
      <c r="R45" s="384"/>
      <c r="S45" s="384"/>
      <c r="T45" s="384"/>
      <c r="U45" s="384"/>
      <c r="V45" s="375"/>
      <c r="W45" s="375"/>
      <c r="X45" s="375"/>
      <c r="Y45" s="375"/>
      <c r="Z45" s="375"/>
      <c r="AA45" s="375"/>
      <c r="AB45" s="379"/>
      <c r="AC45" s="364"/>
      <c r="AD45" s="379"/>
      <c r="AE45" s="379"/>
      <c r="AF45" s="375"/>
      <c r="AG45" s="375"/>
      <c r="AH45" s="375"/>
      <c r="AI45" s="375"/>
      <c r="AJ45" s="375"/>
      <c r="AK45" s="375"/>
      <c r="AL45" s="375"/>
      <c r="AM45" s="375"/>
      <c r="AN45" s="375"/>
      <c r="AO45" s="375"/>
    </row>
    <row r="46" spans="1:41">
      <c r="A46" s="114"/>
      <c r="B46" s="313" t="s">
        <v>258</v>
      </c>
      <c r="C46" s="125" t="s">
        <v>285</v>
      </c>
      <c r="D46" s="347"/>
      <c r="E46" s="348"/>
      <c r="F46" s="349">
        <v>634389</v>
      </c>
      <c r="G46" s="350">
        <v>1328311</v>
      </c>
      <c r="H46" s="351">
        <f>(Tableau58[[#This Row],[masse salariale 2022 affectée par le vote du CNESER du15/11/2021 (150 et 231) en euros]]-Tableau58[[#This Row],[masse salariale 2021 affectée par le vote du CNESER du 24/11/2020 (150 et 231) en euros]])/Tableau58[[#This Row],[masse salariale 2021 affectée par le vote du CNESER du 24/11/2020 (150 et 231) en euros]]</f>
        <v>1.0938430521336278</v>
      </c>
      <c r="I46" s="352"/>
      <c r="J46" s="353">
        <v>2400000</v>
      </c>
      <c r="K46" s="354">
        <v>3034389</v>
      </c>
      <c r="L46" s="354">
        <v>3728311</v>
      </c>
      <c r="M46" s="351">
        <f>(Tableau58[[#This Row],[SCSP notifiées en CP votées par le CNESER en 2021 pour 2022]]-Tableau58[[#This Row],[SCSP notifiées en CP votées par le CNESER en 2020 pour 2021]])/Tableau58[[#This Row],[SCSP notifiées en CP votées par le CNESER en 2020 pour 2021]]</f>
        <v>0.22868590678386982</v>
      </c>
      <c r="N46" s="355"/>
      <c r="O46" s="361"/>
      <c r="P46" s="356"/>
      <c r="Q46" s="356"/>
      <c r="R46" s="357"/>
      <c r="S46" s="358"/>
      <c r="T46" s="359"/>
      <c r="U46" s="359"/>
      <c r="V46" s="114"/>
      <c r="W46" s="114"/>
      <c r="X46" s="114"/>
      <c r="Y46" s="114"/>
      <c r="Z46" s="114"/>
      <c r="AA46" s="114"/>
      <c r="AB46" s="121"/>
      <c r="AC46" s="313"/>
      <c r="AD46" s="121"/>
      <c r="AE46" s="121"/>
      <c r="AF46" s="114"/>
      <c r="AG46" s="114"/>
      <c r="AH46" s="114"/>
      <c r="AI46" s="114"/>
      <c r="AJ46" s="114"/>
      <c r="AK46" s="114"/>
      <c r="AL46" s="114"/>
      <c r="AM46" s="114"/>
      <c r="AN46" s="114"/>
      <c r="AO46" s="114"/>
    </row>
    <row r="47" spans="1:41" s="376" customFormat="1">
      <c r="A47" s="375" t="s">
        <v>414</v>
      </c>
      <c r="B47" s="364" t="s">
        <v>258</v>
      </c>
      <c r="C47" s="380" t="s">
        <v>418</v>
      </c>
      <c r="D47" s="381"/>
      <c r="E47" s="381"/>
      <c r="F47" s="381">
        <v>289606</v>
      </c>
      <c r="G47" s="381">
        <v>289606</v>
      </c>
      <c r="H47" s="382">
        <f>(Tableau58[[#This Row],[masse salariale 2022 affectée par le vote du CNESER du15/11/2021 (150 et 231) en euros]]-Tableau58[[#This Row],[masse salariale 2021 affectée par le vote du CNESER du 24/11/2020 (150 et 231) en euros]])/Tableau58[[#This Row],[masse salariale 2021 affectée par le vote du CNESER du 24/11/2020 (150 et 231) en euros]]</f>
        <v>0</v>
      </c>
      <c r="I47" s="383"/>
      <c r="J47" s="383"/>
      <c r="K47" s="383">
        <v>1770455</v>
      </c>
      <c r="L47" s="383">
        <v>1770455</v>
      </c>
      <c r="M47" s="382">
        <f>(Tableau58[[#This Row],[SCSP notifiées en CP votées par le CNESER en 2021 pour 2022]]-Tableau58[[#This Row],[SCSP notifiées en CP votées par le CNESER en 2020 pour 2021]])/Tableau58[[#This Row],[SCSP notifiées en CP votées par le CNESER en 2020 pour 2021]]</f>
        <v>0</v>
      </c>
      <c r="N47" s="380"/>
      <c r="O47" s="383"/>
      <c r="P47" s="380"/>
      <c r="Q47" s="380"/>
      <c r="R47" s="384"/>
      <c r="S47" s="384"/>
      <c r="T47" s="384"/>
      <c r="U47" s="385"/>
      <c r="V47" s="375"/>
      <c r="W47" s="375"/>
      <c r="X47" s="375"/>
      <c r="Y47" s="375"/>
      <c r="Z47" s="375"/>
      <c r="AA47" s="375"/>
      <c r="AB47" s="379"/>
      <c r="AC47" s="364"/>
      <c r="AD47" s="379"/>
      <c r="AE47" s="379"/>
      <c r="AF47" s="375"/>
      <c r="AG47" s="375"/>
      <c r="AH47" s="375"/>
      <c r="AI47" s="375"/>
      <c r="AJ47" s="375"/>
      <c r="AK47" s="375"/>
      <c r="AL47" s="375"/>
      <c r="AM47" s="375"/>
      <c r="AN47" s="375"/>
      <c r="AO47" s="375"/>
    </row>
    <row r="48" spans="1:41">
      <c r="A48" s="114"/>
      <c r="B48" s="313" t="s">
        <v>258</v>
      </c>
      <c r="C48" s="125" t="s">
        <v>324</v>
      </c>
      <c r="D48" s="347"/>
      <c r="E48" s="348"/>
      <c r="F48" s="349"/>
      <c r="G48" s="350">
        <v>9643</v>
      </c>
      <c r="H48" s="351" t="e">
        <f>(Tableau58[[#This Row],[masse salariale 2022 affectée par le vote du CNESER du15/11/2021 (150 et 231) en euros]]-Tableau58[[#This Row],[masse salariale 2021 affectée par le vote du CNESER du 24/11/2020 (150 et 231) en euros]])/Tableau58[[#This Row],[masse salariale 2021 affectée par le vote du CNESER du 24/11/2020 (150 et 231) en euros]]</f>
        <v>#DIV/0!</v>
      </c>
      <c r="I48" s="352"/>
      <c r="J48" s="353"/>
      <c r="K48" s="354">
        <v>205344</v>
      </c>
      <c r="L48" s="354">
        <v>214987</v>
      </c>
      <c r="M48" s="351">
        <f>(Tableau58[[#This Row],[SCSP notifiées en CP votées par le CNESER en 2021 pour 2022]]-Tableau58[[#This Row],[SCSP notifiées en CP votées par le CNESER en 2020 pour 2021]])/Tableau58[[#This Row],[SCSP notifiées en CP votées par le CNESER en 2020 pour 2021]]</f>
        <v>4.6960222845566467E-2</v>
      </c>
      <c r="N48" s="355"/>
      <c r="O48" s="361"/>
      <c r="P48" s="356"/>
      <c r="Q48" s="356"/>
      <c r="R48" s="357"/>
      <c r="S48" s="358"/>
      <c r="T48" s="359"/>
      <c r="U48" s="359"/>
      <c r="V48" s="114"/>
      <c r="W48" s="114"/>
      <c r="X48" s="114"/>
      <c r="Y48" s="114"/>
      <c r="Z48" s="114"/>
      <c r="AA48" s="114"/>
      <c r="AB48" s="121"/>
      <c r="AC48" s="313"/>
      <c r="AD48" s="121"/>
      <c r="AE48" s="121"/>
      <c r="AF48" s="114"/>
      <c r="AG48" s="114"/>
      <c r="AH48" s="114"/>
      <c r="AI48" s="114"/>
      <c r="AJ48" s="114"/>
      <c r="AK48" s="114"/>
      <c r="AL48" s="114"/>
      <c r="AM48" s="114"/>
      <c r="AN48" s="114"/>
      <c r="AO48" s="114"/>
    </row>
    <row r="49" spans="1:41" s="376" customFormat="1">
      <c r="A49" s="375" t="s">
        <v>414</v>
      </c>
      <c r="B49" s="364" t="s">
        <v>258</v>
      </c>
      <c r="C49" s="380" t="s">
        <v>419</v>
      </c>
      <c r="D49" s="381"/>
      <c r="E49" s="381"/>
      <c r="F49" s="381">
        <v>125000</v>
      </c>
      <c r="G49" s="381">
        <v>125540</v>
      </c>
      <c r="H49" s="382">
        <f>(Tableau58[[#This Row],[masse salariale 2022 affectée par le vote du CNESER du15/11/2021 (150 et 231) en euros]]-Tableau58[[#This Row],[masse salariale 2021 affectée par le vote du CNESER du 24/11/2020 (150 et 231) en euros]])/Tableau58[[#This Row],[masse salariale 2021 affectée par le vote du CNESER du 24/11/2020 (150 et 231) en euros]]</f>
        <v>4.3200000000000001E-3</v>
      </c>
      <c r="I49" s="383"/>
      <c r="J49" s="383"/>
      <c r="K49" s="383">
        <v>4800107</v>
      </c>
      <c r="L49" s="383">
        <v>4800647</v>
      </c>
      <c r="M49" s="382">
        <f>(Tableau58[[#This Row],[SCSP notifiées en CP votées par le CNESER en 2021 pour 2022]]-Tableau58[[#This Row],[SCSP notifiées en CP votées par le CNESER en 2020 pour 2021]])/Tableau58[[#This Row],[SCSP notifiées en CP votées par le CNESER en 2020 pour 2021]]</f>
        <v>1.1249749224340208E-4</v>
      </c>
      <c r="N49" s="380"/>
      <c r="O49" s="383"/>
      <c r="P49" s="380"/>
      <c r="Q49" s="380"/>
      <c r="R49" s="384"/>
      <c r="S49" s="384"/>
      <c r="T49" s="384"/>
      <c r="U49" s="385"/>
      <c r="V49" s="375"/>
      <c r="W49" s="375"/>
      <c r="X49" s="375"/>
      <c r="Y49" s="375"/>
      <c r="Z49" s="375"/>
      <c r="AA49" s="375"/>
      <c r="AB49" s="379"/>
      <c r="AC49" s="364"/>
      <c r="AD49" s="379"/>
      <c r="AE49" s="379"/>
      <c r="AF49" s="375"/>
      <c r="AG49" s="375"/>
      <c r="AH49" s="375"/>
      <c r="AI49" s="375"/>
      <c r="AJ49" s="375"/>
      <c r="AK49" s="375"/>
      <c r="AL49" s="375"/>
      <c r="AM49" s="375"/>
      <c r="AN49" s="375"/>
      <c r="AO49" s="375"/>
    </row>
    <row r="50" spans="1:41">
      <c r="A50" s="114" t="s">
        <v>414</v>
      </c>
      <c r="B50" s="313" t="s">
        <v>258</v>
      </c>
      <c r="C50" s="125" t="s">
        <v>420</v>
      </c>
      <c r="D50" s="347"/>
      <c r="E50" s="348"/>
      <c r="F50" s="349"/>
      <c r="G50" s="350">
        <v>0</v>
      </c>
      <c r="H50" s="351" t="e">
        <f>(Tableau58[[#This Row],[masse salariale 2022 affectée par le vote du CNESER du15/11/2021 (150 et 231) en euros]]-Tableau58[[#This Row],[masse salariale 2021 affectée par le vote du CNESER du 24/11/2020 (150 et 231) en euros]])/Tableau58[[#This Row],[masse salariale 2021 affectée par le vote du CNESER du 24/11/2020 (150 et 231) en euros]]</f>
        <v>#DIV/0!</v>
      </c>
      <c r="I50" s="352"/>
      <c r="J50" s="353"/>
      <c r="K50" s="354"/>
      <c r="L50" s="362">
        <v>65000</v>
      </c>
      <c r="M50" s="351" t="e">
        <f>(Tableau58[[#This Row],[SCSP notifiées en CP votées par le CNESER en 2021 pour 2022]]-Tableau58[[#This Row],[SCSP notifiées en CP votées par le CNESER en 2020 pour 2021]])/Tableau58[[#This Row],[SCSP notifiées en CP votées par le CNESER en 2020 pour 2021]]</f>
        <v>#DIV/0!</v>
      </c>
      <c r="N50" s="355"/>
      <c r="O50" s="353"/>
      <c r="P50" s="356"/>
      <c r="Q50" s="356"/>
      <c r="R50" s="357"/>
      <c r="S50" s="358"/>
      <c r="T50" s="359"/>
      <c r="U50" s="360"/>
      <c r="V50" s="114"/>
      <c r="W50" s="114"/>
      <c r="X50" s="114"/>
      <c r="Y50" s="114"/>
      <c r="Z50" s="114"/>
      <c r="AA50" s="114"/>
      <c r="AB50" s="114"/>
      <c r="AC50" s="114"/>
      <c r="AD50" s="114"/>
      <c r="AE50" s="114"/>
      <c r="AF50" s="114"/>
      <c r="AG50" s="114"/>
      <c r="AH50" s="114"/>
      <c r="AI50" s="114"/>
      <c r="AJ50" s="114"/>
      <c r="AK50" s="114"/>
      <c r="AL50" s="114"/>
      <c r="AM50" s="114"/>
      <c r="AN50" s="114"/>
      <c r="AO50" s="114"/>
    </row>
    <row r="51" spans="1:41" s="376" customFormat="1">
      <c r="A51" s="375" t="s">
        <v>414</v>
      </c>
      <c r="B51" s="364" t="s">
        <v>258</v>
      </c>
      <c r="C51" s="380" t="s">
        <v>421</v>
      </c>
      <c r="D51" s="381"/>
      <c r="E51" s="381"/>
      <c r="F51" s="381">
        <v>0</v>
      </c>
      <c r="G51" s="381">
        <v>0</v>
      </c>
      <c r="H51" s="382" t="e">
        <f>(Tableau58[[#This Row],[masse salariale 2022 affectée par le vote du CNESER du15/11/2021 (150 et 231) en euros]]-Tableau58[[#This Row],[masse salariale 2021 affectée par le vote du CNESER du 24/11/2020 (150 et 231) en euros]])/Tableau58[[#This Row],[masse salariale 2021 affectée par le vote du CNESER du 24/11/2020 (150 et 231) en euros]]</f>
        <v>#DIV/0!</v>
      </c>
      <c r="I51" s="383"/>
      <c r="J51" s="383"/>
      <c r="K51" s="383">
        <v>1086996</v>
      </c>
      <c r="L51" s="383">
        <v>1005777</v>
      </c>
      <c r="M51" s="382">
        <f>(Tableau58[[#This Row],[SCSP notifiées en CP votées par le CNESER en 2021 pour 2022]]-Tableau58[[#This Row],[SCSP notifiées en CP votées par le CNESER en 2020 pour 2021]])/Tableau58[[#This Row],[SCSP notifiées en CP votées par le CNESER en 2020 pour 2021]]</f>
        <v>-7.4718766214411092E-2</v>
      </c>
      <c r="N51" s="380"/>
      <c r="O51" s="383"/>
      <c r="P51" s="380"/>
      <c r="Q51" s="380"/>
      <c r="R51" s="384"/>
      <c r="S51" s="384"/>
      <c r="T51" s="384"/>
      <c r="U51" s="385"/>
      <c r="V51" s="375"/>
      <c r="W51" s="375"/>
      <c r="X51" s="375"/>
      <c r="Y51" s="375"/>
      <c r="Z51" s="375"/>
      <c r="AA51" s="375"/>
      <c r="AB51" s="375"/>
      <c r="AC51" s="375"/>
      <c r="AD51" s="375"/>
      <c r="AE51" s="375"/>
      <c r="AF51" s="375"/>
      <c r="AG51" s="375"/>
      <c r="AH51" s="375"/>
      <c r="AI51" s="375"/>
      <c r="AJ51" s="375"/>
      <c r="AK51" s="375"/>
      <c r="AL51" s="375"/>
      <c r="AM51" s="375"/>
      <c r="AN51" s="375"/>
      <c r="AO51" s="375"/>
    </row>
    <row r="52" spans="1:41">
      <c r="A52" s="114" t="s">
        <v>422</v>
      </c>
      <c r="B52" s="313" t="s">
        <v>258</v>
      </c>
      <c r="C52" s="125" t="s">
        <v>325</v>
      </c>
      <c r="D52" s="347"/>
      <c r="E52" s="348"/>
      <c r="F52" s="349">
        <v>0</v>
      </c>
      <c r="G52" s="350">
        <v>0</v>
      </c>
      <c r="H52" s="351" t="e">
        <f>(Tableau58[[#This Row],[masse salariale 2022 affectée par le vote du CNESER du15/11/2021 (150 et 231) en euros]]-Tableau58[[#This Row],[masse salariale 2021 affectée par le vote du CNESER du 24/11/2020 (150 et 231) en euros]])/Tableau58[[#This Row],[masse salariale 2021 affectée par le vote du CNESER du 24/11/2020 (150 et 231) en euros]]</f>
        <v>#DIV/0!</v>
      </c>
      <c r="I52" s="352"/>
      <c r="J52" s="353">
        <v>850312</v>
      </c>
      <c r="K52" s="354">
        <v>975312</v>
      </c>
      <c r="L52" s="354">
        <v>975312</v>
      </c>
      <c r="M52" s="351">
        <f>(Tableau58[[#This Row],[SCSP notifiées en CP votées par le CNESER en 2021 pour 2022]]-Tableau58[[#This Row],[SCSP notifiées en CP votées par le CNESER en 2020 pour 2021]])/Tableau58[[#This Row],[SCSP notifiées en CP votées par le CNESER en 2020 pour 2021]]</f>
        <v>0</v>
      </c>
      <c r="N52" s="355"/>
      <c r="O52" s="361"/>
      <c r="P52" s="356"/>
      <c r="Q52" s="356"/>
      <c r="R52" s="357"/>
      <c r="S52" s="358"/>
      <c r="T52" s="359"/>
      <c r="U52" s="359"/>
      <c r="V52" s="114"/>
      <c r="W52" s="114"/>
      <c r="X52" s="114"/>
      <c r="Y52" s="114"/>
      <c r="Z52" s="114"/>
      <c r="AA52" s="114"/>
      <c r="AB52" s="114"/>
      <c r="AC52" s="114"/>
      <c r="AD52" s="114"/>
      <c r="AE52" s="114"/>
      <c r="AF52" s="114"/>
      <c r="AG52" s="114"/>
      <c r="AH52" s="114"/>
      <c r="AI52" s="114"/>
      <c r="AJ52" s="114"/>
      <c r="AK52" s="114"/>
      <c r="AL52" s="114"/>
      <c r="AM52" s="114"/>
      <c r="AN52" s="114"/>
      <c r="AO52" s="114"/>
    </row>
    <row r="53" spans="1:41" s="376" customFormat="1">
      <c r="A53" s="375"/>
      <c r="B53" s="364" t="s">
        <v>258</v>
      </c>
      <c r="C53" s="380" t="s">
        <v>274</v>
      </c>
      <c r="D53" s="381"/>
      <c r="E53" s="381"/>
      <c r="F53" s="381">
        <v>927255</v>
      </c>
      <c r="G53" s="381"/>
      <c r="H53" s="382">
        <f>(Tableau58[[#This Row],[masse salariale 2022 affectée par le vote du CNESER du15/11/2021 (150 et 231) en euros]]-Tableau58[[#This Row],[masse salariale 2021 affectée par le vote du CNESER du 24/11/2020 (150 et 231) en euros]])/Tableau58[[#This Row],[masse salariale 2021 affectée par le vote du CNESER du 24/11/2020 (150 et 231) en euros]]</f>
        <v>-1</v>
      </c>
      <c r="I53" s="383"/>
      <c r="J53" s="383">
        <v>2345600</v>
      </c>
      <c r="K53" s="383">
        <v>2459623</v>
      </c>
      <c r="L53" s="383"/>
      <c r="M53" s="382">
        <f>(Tableau58[[#This Row],[SCSP notifiées en CP votées par le CNESER en 2021 pour 2022]]-Tableau58[[#This Row],[SCSP notifiées en CP votées par le CNESER en 2020 pour 2021]])/Tableau58[[#This Row],[SCSP notifiées en CP votées par le CNESER en 2020 pour 2021]]</f>
        <v>-1</v>
      </c>
      <c r="N53" s="380"/>
      <c r="O53" s="386"/>
      <c r="P53" s="380"/>
      <c r="Q53" s="380"/>
      <c r="R53" s="384">
        <v>1036</v>
      </c>
      <c r="S53" s="384">
        <v>1123</v>
      </c>
      <c r="T53" s="384">
        <v>1256</v>
      </c>
      <c r="U53" s="384"/>
      <c r="V53" s="375"/>
      <c r="W53" s="375"/>
      <c r="X53" s="375"/>
      <c r="Y53" s="375"/>
      <c r="Z53" s="375"/>
      <c r="AA53" s="375"/>
      <c r="AB53" s="375"/>
      <c r="AC53" s="375"/>
      <c r="AD53" s="375"/>
      <c r="AE53" s="375"/>
      <c r="AF53" s="375"/>
      <c r="AG53" s="375"/>
      <c r="AH53" s="375"/>
      <c r="AI53" s="375"/>
      <c r="AJ53" s="375"/>
      <c r="AK53" s="375"/>
      <c r="AL53" s="375"/>
      <c r="AM53" s="375"/>
      <c r="AN53" s="375"/>
      <c r="AO53" s="375"/>
    </row>
    <row r="54" spans="1:41">
      <c r="A54" s="114" t="s">
        <v>414</v>
      </c>
      <c r="B54" s="313" t="s">
        <v>258</v>
      </c>
      <c r="C54" s="125" t="s">
        <v>423</v>
      </c>
      <c r="D54" s="347"/>
      <c r="E54" s="348"/>
      <c r="F54" s="349">
        <v>5307468</v>
      </c>
      <c r="G54" s="350">
        <v>5323274</v>
      </c>
      <c r="H54" s="351">
        <f>(Tableau58[[#This Row],[masse salariale 2022 affectée par le vote du CNESER du15/11/2021 (150 et 231) en euros]]-Tableau58[[#This Row],[masse salariale 2021 affectée par le vote du CNESER du 24/11/2020 (150 et 231) en euros]])/Tableau58[[#This Row],[masse salariale 2021 affectée par le vote du CNESER du 24/11/2020 (150 et 231) en euros]]</f>
        <v>2.97806788472394E-3</v>
      </c>
      <c r="I54" s="352"/>
      <c r="J54" s="353"/>
      <c r="K54" s="354">
        <v>6513990</v>
      </c>
      <c r="L54" s="354">
        <v>6479796</v>
      </c>
      <c r="M54" s="351">
        <f>(Tableau58[[#This Row],[SCSP notifiées en CP votées par le CNESER en 2021 pour 2022]]-Tableau58[[#This Row],[SCSP notifiées en CP votées par le CNESER en 2020 pour 2021]])/Tableau58[[#This Row],[SCSP notifiées en CP votées par le CNESER en 2020 pour 2021]]</f>
        <v>-5.2493172387430747E-3</v>
      </c>
      <c r="N54" s="355"/>
      <c r="O54" s="353"/>
      <c r="P54" s="356"/>
      <c r="Q54" s="356"/>
      <c r="R54" s="357"/>
      <c r="S54" s="358"/>
      <c r="T54" s="359"/>
      <c r="U54" s="360"/>
      <c r="V54" s="114"/>
      <c r="W54" s="114"/>
      <c r="X54" s="114"/>
      <c r="Y54" s="114"/>
      <c r="Z54" s="114"/>
      <c r="AA54" s="114"/>
      <c r="AB54" s="114"/>
      <c r="AC54" s="114"/>
      <c r="AD54" s="114"/>
      <c r="AE54" s="114"/>
      <c r="AF54" s="114"/>
      <c r="AG54" s="114"/>
      <c r="AH54" s="114"/>
      <c r="AI54" s="114"/>
      <c r="AJ54" s="114"/>
      <c r="AK54" s="114"/>
      <c r="AL54" s="114"/>
      <c r="AM54" s="114"/>
      <c r="AN54" s="114"/>
      <c r="AO54" s="114"/>
    </row>
    <row r="55" spans="1:41" s="376" customFormat="1">
      <c r="A55" s="375" t="s">
        <v>414</v>
      </c>
      <c r="B55" s="364" t="s">
        <v>258</v>
      </c>
      <c r="C55" s="380" t="s">
        <v>424</v>
      </c>
      <c r="D55" s="381"/>
      <c r="E55" s="381"/>
      <c r="F55" s="381">
        <v>3957301</v>
      </c>
      <c r="G55" s="381">
        <v>3970817</v>
      </c>
      <c r="H55" s="382">
        <f>(Tableau58[[#This Row],[masse salariale 2022 affectée par le vote du CNESER du15/11/2021 (150 et 231) en euros]]-Tableau58[[#This Row],[masse salariale 2021 affectée par le vote du CNESER du 24/11/2020 (150 et 231) en euros]])/Tableau58[[#This Row],[masse salariale 2021 affectée par le vote du CNESER du 24/11/2020 (150 et 231) en euros]]</f>
        <v>3.4154591728048989E-3</v>
      </c>
      <c r="I55" s="383"/>
      <c r="J55" s="383"/>
      <c r="K55" s="383">
        <v>5315461</v>
      </c>
      <c r="L55" s="383">
        <v>5328977</v>
      </c>
      <c r="M55" s="382">
        <f>(Tableau58[[#This Row],[SCSP notifiées en CP votées par le CNESER en 2021 pour 2022]]-Tableau58[[#This Row],[SCSP notifiées en CP votées par le CNESER en 2020 pour 2021]])/Tableau58[[#This Row],[SCSP notifiées en CP votées par le CNESER en 2020 pour 2021]]</f>
        <v>2.5427709844922201E-3</v>
      </c>
      <c r="N55" s="380"/>
      <c r="O55" s="383"/>
      <c r="P55" s="380"/>
      <c r="Q55" s="380"/>
      <c r="R55" s="384"/>
      <c r="S55" s="384"/>
      <c r="T55" s="384"/>
      <c r="U55" s="385"/>
      <c r="V55" s="375"/>
      <c r="W55" s="375"/>
      <c r="X55" s="375"/>
      <c r="Y55" s="375"/>
      <c r="Z55" s="375"/>
      <c r="AA55" s="375"/>
      <c r="AB55" s="375"/>
      <c r="AC55" s="375"/>
      <c r="AD55" s="375"/>
      <c r="AE55" s="375"/>
      <c r="AF55" s="375"/>
      <c r="AG55" s="375"/>
      <c r="AH55" s="375"/>
      <c r="AI55" s="375"/>
      <c r="AJ55" s="375"/>
      <c r="AK55" s="375"/>
      <c r="AL55" s="375"/>
      <c r="AM55" s="375"/>
      <c r="AN55" s="375"/>
      <c r="AO55" s="375"/>
    </row>
    <row r="56" spans="1:41">
      <c r="A56" s="114" t="s">
        <v>414</v>
      </c>
      <c r="B56" s="313" t="s">
        <v>258</v>
      </c>
      <c r="C56" s="125" t="s">
        <v>425</v>
      </c>
      <c r="D56" s="347"/>
      <c r="E56" s="348"/>
      <c r="F56" s="349">
        <v>7468154</v>
      </c>
      <c r="G56" s="350">
        <v>7499120</v>
      </c>
      <c r="H56" s="351">
        <f>(Tableau58[[#This Row],[masse salariale 2022 affectée par le vote du CNESER du15/11/2021 (150 et 231) en euros]]-Tableau58[[#This Row],[masse salariale 2021 affectée par le vote du CNESER du 24/11/2020 (150 et 231) en euros]])/Tableau58[[#This Row],[masse salariale 2021 affectée par le vote du CNESER du 24/11/2020 (150 et 231) en euros]]</f>
        <v>4.1464061935519809E-3</v>
      </c>
      <c r="I56" s="352"/>
      <c r="J56" s="353"/>
      <c r="K56" s="354">
        <v>8115041</v>
      </c>
      <c r="L56" s="354">
        <v>8146007</v>
      </c>
      <c r="M56" s="351">
        <f>(Tableau58[[#This Row],[SCSP notifiées en CP votées par le CNESER en 2021 pour 2022]]-Tableau58[[#This Row],[SCSP notifiées en CP votées par le CNESER en 2020 pour 2021]])/Tableau58[[#This Row],[SCSP notifiées en CP votées par le CNESER en 2020 pour 2021]]</f>
        <v>3.8158772087534738E-3</v>
      </c>
      <c r="N56" s="355"/>
      <c r="O56" s="353"/>
      <c r="P56" s="356"/>
      <c r="Q56" s="356"/>
      <c r="R56" s="357"/>
      <c r="S56" s="358"/>
      <c r="T56" s="359"/>
      <c r="U56" s="360"/>
      <c r="V56" s="114"/>
      <c r="W56" s="114"/>
      <c r="X56" s="114"/>
      <c r="Y56" s="114"/>
      <c r="Z56" s="114"/>
      <c r="AA56" s="114"/>
      <c r="AB56" s="114"/>
      <c r="AC56" s="114"/>
      <c r="AD56" s="114"/>
      <c r="AE56" s="114"/>
      <c r="AF56" s="114"/>
      <c r="AG56" s="114"/>
      <c r="AH56" s="114"/>
      <c r="AI56" s="114"/>
      <c r="AJ56" s="114"/>
      <c r="AK56" s="114"/>
      <c r="AL56" s="114"/>
      <c r="AM56" s="114"/>
      <c r="AN56" s="114"/>
      <c r="AO56" s="114"/>
    </row>
    <row r="57" spans="1:41" s="376" customFormat="1">
      <c r="A57" s="375" t="s">
        <v>414</v>
      </c>
      <c r="B57" s="364" t="s">
        <v>258</v>
      </c>
      <c r="C57" s="380" t="s">
        <v>426</v>
      </c>
      <c r="D57" s="381"/>
      <c r="E57" s="381"/>
      <c r="F57" s="381">
        <v>4860895</v>
      </c>
      <c r="G57" s="381">
        <v>4875087</v>
      </c>
      <c r="H57" s="382">
        <f>(Tableau58[[#This Row],[masse salariale 2022 affectée par le vote du CNESER du15/11/2021 (150 et 231) en euros]]-Tableau58[[#This Row],[masse salariale 2021 affectée par le vote du CNESER du 24/11/2020 (150 et 231) en euros]])/Tableau58[[#This Row],[masse salariale 2021 affectée par le vote du CNESER du 24/11/2020 (150 et 231) en euros]]</f>
        <v>2.919626941129154E-3</v>
      </c>
      <c r="I57" s="383"/>
      <c r="J57" s="383"/>
      <c r="K57" s="383">
        <v>6302775</v>
      </c>
      <c r="L57" s="383">
        <v>6316967</v>
      </c>
      <c r="M57" s="382">
        <f>(Tableau58[[#This Row],[SCSP notifiées en CP votées par le CNESER en 2021 pour 2022]]-Tableau58[[#This Row],[SCSP notifiées en CP votées par le CNESER en 2020 pour 2021]])/Tableau58[[#This Row],[SCSP notifiées en CP votées par le CNESER en 2020 pour 2021]]</f>
        <v>2.2517065895577741E-3</v>
      </c>
      <c r="N57" s="380"/>
      <c r="O57" s="383"/>
      <c r="P57" s="380"/>
      <c r="Q57" s="380"/>
      <c r="R57" s="384"/>
      <c r="S57" s="384"/>
      <c r="T57" s="384"/>
      <c r="U57" s="385"/>
      <c r="V57" s="375"/>
      <c r="W57" s="375"/>
      <c r="X57" s="375"/>
      <c r="Y57" s="375"/>
      <c r="Z57" s="375"/>
      <c r="AA57" s="375"/>
      <c r="AB57" s="375"/>
      <c r="AC57" s="375"/>
      <c r="AD57" s="375"/>
      <c r="AE57" s="375"/>
      <c r="AF57" s="375"/>
      <c r="AG57" s="375"/>
      <c r="AH57" s="375"/>
      <c r="AI57" s="375"/>
      <c r="AJ57" s="375"/>
      <c r="AK57" s="375"/>
      <c r="AL57" s="375"/>
      <c r="AM57" s="375"/>
      <c r="AN57" s="375"/>
      <c r="AO57" s="375"/>
    </row>
    <row r="58" spans="1:41">
      <c r="A58" s="114" t="s">
        <v>331</v>
      </c>
      <c r="B58" s="313" t="s">
        <v>258</v>
      </c>
      <c r="C58" s="125" t="s">
        <v>181</v>
      </c>
      <c r="D58" s="347"/>
      <c r="E58" s="348"/>
      <c r="F58" s="349"/>
      <c r="G58" s="350"/>
      <c r="H58" s="351" t="e">
        <f>(Tableau58[[#This Row],[masse salariale 2022 affectée par le vote du CNESER du15/11/2021 (150 et 231) en euros]]-Tableau58[[#This Row],[masse salariale 2021 affectée par le vote du CNESER du 24/11/2020 (150 et 231) en euros]])/Tableau58[[#This Row],[masse salariale 2021 affectée par le vote du CNESER du 24/11/2020 (150 et 231) en euros]]</f>
        <v>#DIV/0!</v>
      </c>
      <c r="I58" s="352"/>
      <c r="J58" s="353"/>
      <c r="K58" s="354"/>
      <c r="L58" s="354"/>
      <c r="M58" s="351" t="e">
        <f>(Tableau58[[#This Row],[SCSP notifiées en CP votées par le CNESER en 2021 pour 2022]]-Tableau58[[#This Row],[SCSP notifiées en CP votées par le CNESER en 2020 pour 2021]])/Tableau58[[#This Row],[SCSP notifiées en CP votées par le CNESER en 2020 pour 2021]]</f>
        <v>#DIV/0!</v>
      </c>
      <c r="N58" s="355"/>
      <c r="O58" s="353"/>
      <c r="P58" s="356"/>
      <c r="Q58" s="356"/>
      <c r="R58" s="357">
        <v>416</v>
      </c>
      <c r="S58" s="358">
        <v>437</v>
      </c>
      <c r="T58" s="359">
        <v>355</v>
      </c>
      <c r="U58" s="360"/>
      <c r="V58" s="114"/>
      <c r="W58" s="114"/>
      <c r="X58" s="114"/>
      <c r="Y58" s="114"/>
      <c r="Z58" s="114"/>
      <c r="AA58" s="114"/>
      <c r="AB58" s="114"/>
      <c r="AC58" s="114"/>
      <c r="AD58" s="114"/>
      <c r="AE58" s="114"/>
      <c r="AF58" s="114"/>
      <c r="AG58" s="114"/>
      <c r="AH58" s="114"/>
      <c r="AI58" s="114"/>
      <c r="AJ58" s="114"/>
      <c r="AK58" s="114"/>
      <c r="AL58" s="114"/>
      <c r="AM58" s="114"/>
      <c r="AN58" s="114"/>
      <c r="AO58" s="114"/>
    </row>
    <row r="59" spans="1:41" s="376" customFormat="1">
      <c r="A59" s="375" t="s">
        <v>331</v>
      </c>
      <c r="B59" s="364" t="s">
        <v>427</v>
      </c>
      <c r="C59" s="380" t="s">
        <v>184</v>
      </c>
      <c r="D59" s="381"/>
      <c r="E59" s="381"/>
      <c r="F59" s="381">
        <v>219908</v>
      </c>
      <c r="G59" s="381">
        <v>7230234</v>
      </c>
      <c r="H59" s="382">
        <f>(Tableau58[[#This Row],[masse salariale 2022 affectée par le vote du CNESER du15/11/2021 (150 et 231) en euros]]-Tableau58[[#This Row],[masse salariale 2021 affectée par le vote du CNESER du 24/11/2020 (150 et 231) en euros]])/Tableau58[[#This Row],[masse salariale 2021 affectée par le vote du CNESER du 24/11/2020 (150 et 231) en euros]]</f>
        <v>31.878449169652765</v>
      </c>
      <c r="I59" s="383"/>
      <c r="J59" s="383">
        <v>2777953</v>
      </c>
      <c r="K59" s="383">
        <v>2779620</v>
      </c>
      <c r="L59" s="383">
        <v>9791296</v>
      </c>
      <c r="M59" s="382">
        <f>(Tableau58[[#This Row],[SCSP notifiées en CP votées par le CNESER en 2021 pour 2022]]-Tableau58[[#This Row],[SCSP notifiées en CP votées par le CNESER en 2020 pour 2021]])/Tableau58[[#This Row],[SCSP notifiées en CP votées par le CNESER en 2020 pour 2021]]</f>
        <v>2.5225304178268972</v>
      </c>
      <c r="N59" s="380"/>
      <c r="O59" s="383"/>
      <c r="P59" s="380"/>
      <c r="Q59" s="380"/>
      <c r="R59" s="384">
        <v>188</v>
      </c>
      <c r="S59" s="384">
        <v>166</v>
      </c>
      <c r="T59" s="384">
        <v>169</v>
      </c>
      <c r="U59" s="385"/>
      <c r="V59" s="375"/>
      <c r="W59" s="375"/>
      <c r="X59" s="375"/>
      <c r="Y59" s="375"/>
      <c r="Z59" s="375"/>
      <c r="AA59" s="375"/>
      <c r="AB59" s="375"/>
      <c r="AC59" s="375"/>
      <c r="AD59" s="375"/>
      <c r="AE59" s="375"/>
      <c r="AF59" s="375"/>
      <c r="AG59" s="375"/>
      <c r="AH59" s="375"/>
      <c r="AI59" s="375"/>
      <c r="AJ59" s="375"/>
      <c r="AK59" s="375"/>
      <c r="AL59" s="375"/>
      <c r="AM59" s="375"/>
      <c r="AN59" s="375"/>
      <c r="AO59" s="375"/>
    </row>
    <row r="60" spans="1:41">
      <c r="A60" s="114" t="s">
        <v>428</v>
      </c>
      <c r="B60" s="313" t="s">
        <v>258</v>
      </c>
      <c r="C60" s="125" t="s">
        <v>182</v>
      </c>
      <c r="D60" s="347"/>
      <c r="E60" s="348"/>
      <c r="F60" s="349">
        <v>1245772</v>
      </c>
      <c r="G60" s="350">
        <v>1298769</v>
      </c>
      <c r="H60" s="351">
        <f>(Tableau58[[#This Row],[masse salariale 2022 affectée par le vote du CNESER du15/11/2021 (150 et 231) en euros]]-Tableau58[[#This Row],[masse salariale 2021 affectée par le vote du CNESER du 24/11/2020 (150 et 231) en euros]])/Tableau58[[#This Row],[masse salariale 2021 affectée par le vote du CNESER du 24/11/2020 (150 et 231) en euros]]</f>
        <v>4.2541492343703344E-2</v>
      </c>
      <c r="I60" s="352"/>
      <c r="J60" s="353">
        <v>2226755</v>
      </c>
      <c r="K60" s="354">
        <v>2197164</v>
      </c>
      <c r="L60" s="354">
        <v>2250161</v>
      </c>
      <c r="M60" s="351">
        <f>(Tableau58[[#This Row],[SCSP notifiées en CP votées par le CNESER en 2021 pour 2022]]-Tableau58[[#This Row],[SCSP notifiées en CP votées par le CNESER en 2020 pour 2021]])/Tableau58[[#This Row],[SCSP notifiées en CP votées par le CNESER en 2020 pour 2021]]</f>
        <v>2.4120639151196725E-2</v>
      </c>
      <c r="N60" s="355"/>
      <c r="O60" s="353"/>
      <c r="P60" s="356"/>
      <c r="Q60" s="356"/>
      <c r="R60" s="357">
        <v>740</v>
      </c>
      <c r="S60" s="358">
        <v>805</v>
      </c>
      <c r="T60" s="359">
        <v>823</v>
      </c>
      <c r="U60" s="359"/>
      <c r="V60" s="114"/>
      <c r="W60" s="114"/>
      <c r="X60" s="114"/>
      <c r="Y60" s="114"/>
      <c r="Z60" s="114"/>
      <c r="AA60" s="114"/>
      <c r="AB60" s="114"/>
      <c r="AC60" s="114"/>
      <c r="AD60" s="114"/>
      <c r="AE60" s="114"/>
      <c r="AF60" s="114"/>
      <c r="AG60" s="114"/>
      <c r="AH60" s="114"/>
      <c r="AI60" s="114"/>
      <c r="AJ60" s="114"/>
      <c r="AK60" s="114"/>
      <c r="AL60" s="114"/>
      <c r="AM60" s="114"/>
      <c r="AN60" s="114"/>
      <c r="AO60" s="114"/>
    </row>
    <row r="61" spans="1:41" s="376" customFormat="1">
      <c r="A61" s="375"/>
      <c r="B61" s="364" t="s">
        <v>258</v>
      </c>
      <c r="C61" s="380" t="s">
        <v>183</v>
      </c>
      <c r="D61" s="381"/>
      <c r="E61" s="381"/>
      <c r="F61" s="381"/>
      <c r="G61" s="381"/>
      <c r="H61" s="382" t="e">
        <f>(Tableau58[[#This Row],[masse salariale 2022 affectée par le vote du CNESER du15/11/2021 (150 et 231) en euros]]-Tableau58[[#This Row],[masse salariale 2021 affectée par le vote du CNESER du 24/11/2020 (150 et 231) en euros]])/Tableau58[[#This Row],[masse salariale 2021 affectée par le vote du CNESER du 24/11/2020 (150 et 231) en euros]]</f>
        <v>#DIV/0!</v>
      </c>
      <c r="I61" s="383"/>
      <c r="J61" s="383">
        <v>1986509</v>
      </c>
      <c r="K61" s="383"/>
      <c r="L61" s="383"/>
      <c r="M61" s="382" t="e">
        <f>(Tableau58[[#This Row],[SCSP notifiées en CP votées par le CNESER en 2021 pour 2022]]-Tableau58[[#This Row],[SCSP notifiées en CP votées par le CNESER en 2020 pour 2021]])/Tableau58[[#This Row],[SCSP notifiées en CP votées par le CNESER en 2020 pour 2021]]</f>
        <v>#DIV/0!</v>
      </c>
      <c r="N61" s="380"/>
      <c r="O61" s="383"/>
      <c r="P61" s="380"/>
      <c r="Q61" s="380"/>
      <c r="R61" s="384">
        <v>1012</v>
      </c>
      <c r="S61" s="384"/>
      <c r="T61" s="384"/>
      <c r="U61" s="384"/>
      <c r="V61" s="375"/>
      <c r="W61" s="375"/>
      <c r="X61" s="375"/>
      <c r="Y61" s="375"/>
      <c r="Z61" s="375"/>
      <c r="AA61" s="375"/>
      <c r="AB61" s="375"/>
      <c r="AC61" s="375"/>
      <c r="AD61" s="375"/>
      <c r="AE61" s="375"/>
      <c r="AF61" s="375"/>
      <c r="AG61" s="375"/>
      <c r="AH61" s="375"/>
      <c r="AI61" s="375"/>
      <c r="AJ61" s="375"/>
      <c r="AK61" s="375"/>
      <c r="AL61" s="375"/>
      <c r="AM61" s="375"/>
      <c r="AN61" s="375"/>
      <c r="AO61" s="375"/>
    </row>
    <row r="62" spans="1:41">
      <c r="A62" s="114" t="s">
        <v>422</v>
      </c>
      <c r="B62" s="313" t="s">
        <v>258</v>
      </c>
      <c r="C62" s="125" t="s">
        <v>267</v>
      </c>
      <c r="D62" s="347"/>
      <c r="E62" s="348"/>
      <c r="F62" s="349">
        <v>55192</v>
      </c>
      <c r="G62" s="350">
        <v>62709</v>
      </c>
      <c r="H62" s="351">
        <f>(Tableau58[[#This Row],[masse salariale 2022 affectée par le vote du CNESER du15/11/2021 (150 et 231) en euros]]-Tableau58[[#This Row],[masse salariale 2021 affectée par le vote du CNESER du 24/11/2020 (150 et 231) en euros]])/Tableau58[[#This Row],[masse salariale 2021 affectée par le vote du CNESER du 24/11/2020 (150 et 231) en euros]]</f>
        <v>0.13619727496738657</v>
      </c>
      <c r="I62" s="352"/>
      <c r="J62" s="353">
        <v>4179074</v>
      </c>
      <c r="K62" s="354">
        <v>4180741</v>
      </c>
      <c r="L62" s="354">
        <v>4188258</v>
      </c>
      <c r="M62" s="351">
        <f>(Tableau58[[#This Row],[SCSP notifiées en CP votées par le CNESER en 2021 pour 2022]]-Tableau58[[#This Row],[SCSP notifiées en CP votées par le CNESER en 2020 pour 2021]])/Tableau58[[#This Row],[SCSP notifiées en CP votées par le CNESER en 2020 pour 2021]]</f>
        <v>1.7980066213142598E-3</v>
      </c>
      <c r="N62" s="355"/>
      <c r="O62" s="353"/>
      <c r="P62" s="356"/>
      <c r="Q62" s="356"/>
      <c r="R62" s="357"/>
      <c r="S62" s="358"/>
      <c r="T62" s="359"/>
      <c r="U62" s="359"/>
      <c r="V62" s="114"/>
      <c r="W62" s="114"/>
      <c r="X62" s="114"/>
      <c r="Y62" s="114"/>
      <c r="Z62" s="114"/>
      <c r="AA62" s="114"/>
      <c r="AB62" s="114"/>
      <c r="AC62" s="114"/>
      <c r="AD62" s="114"/>
      <c r="AE62" s="114"/>
      <c r="AF62" s="114"/>
      <c r="AG62" s="114"/>
      <c r="AH62" s="114"/>
      <c r="AI62" s="114"/>
      <c r="AJ62" s="114"/>
      <c r="AK62" s="114"/>
      <c r="AL62" s="114"/>
      <c r="AM62" s="114"/>
      <c r="AN62" s="114"/>
      <c r="AO62" s="114"/>
    </row>
    <row r="63" spans="1:41" s="376" customFormat="1">
      <c r="A63" s="375" t="s">
        <v>428</v>
      </c>
      <c r="B63" s="364" t="s">
        <v>258</v>
      </c>
      <c r="C63" s="380" t="s">
        <v>270</v>
      </c>
      <c r="D63" s="381"/>
      <c r="E63" s="381"/>
      <c r="F63" s="381">
        <v>248488</v>
      </c>
      <c r="G63" s="381">
        <v>291481</v>
      </c>
      <c r="H63" s="382">
        <f>(Tableau58[[#This Row],[masse salariale 2022 affectée par le vote du CNESER du15/11/2021 (150 et 231) en euros]]-Tableau58[[#This Row],[masse salariale 2021 affectée par le vote du CNESER du 24/11/2020 (150 et 231) en euros]])/Tableau58[[#This Row],[masse salariale 2021 affectée par le vote du CNESER du 24/11/2020 (150 et 231) en euros]]</f>
        <v>0.17301841537619522</v>
      </c>
      <c r="I63" s="383"/>
      <c r="J63" s="383">
        <v>1175988</v>
      </c>
      <c r="K63" s="383">
        <v>1130877</v>
      </c>
      <c r="L63" s="383">
        <v>1147498</v>
      </c>
      <c r="M63" s="382">
        <f>(Tableau58[[#This Row],[SCSP notifiées en CP votées par le CNESER en 2021 pour 2022]]-Tableau58[[#This Row],[SCSP notifiées en CP votées par le CNESER en 2020 pour 2021]])/Tableau58[[#This Row],[SCSP notifiées en CP votées par le CNESER en 2020 pour 2021]]</f>
        <v>1.4697442781133581E-2</v>
      </c>
      <c r="N63" s="380"/>
      <c r="O63" s="383"/>
      <c r="P63" s="380"/>
      <c r="Q63" s="380"/>
      <c r="R63" s="384">
        <v>387</v>
      </c>
      <c r="S63" s="384">
        <v>365</v>
      </c>
      <c r="T63" s="384">
        <v>382</v>
      </c>
      <c r="U63" s="384"/>
      <c r="V63" s="375"/>
      <c r="W63" s="375"/>
      <c r="X63" s="375"/>
      <c r="Y63" s="375"/>
      <c r="Z63" s="375"/>
      <c r="AA63" s="375"/>
      <c r="AB63" s="375"/>
      <c r="AC63" s="375"/>
      <c r="AD63" s="375"/>
      <c r="AE63" s="375"/>
      <c r="AF63" s="375"/>
      <c r="AG63" s="375"/>
      <c r="AH63" s="375"/>
      <c r="AI63" s="375"/>
      <c r="AJ63" s="375"/>
      <c r="AK63" s="375"/>
      <c r="AL63" s="375"/>
      <c r="AM63" s="375"/>
      <c r="AN63" s="375"/>
      <c r="AO63" s="375"/>
    </row>
    <row r="64" spans="1:41">
      <c r="A64" s="114"/>
      <c r="B64" s="313" t="s">
        <v>258</v>
      </c>
      <c r="C64" s="125" t="s">
        <v>273</v>
      </c>
      <c r="D64" s="347"/>
      <c r="E64" s="348"/>
      <c r="F64" s="349">
        <v>60896</v>
      </c>
      <c r="G64" s="350">
        <v>81335</v>
      </c>
      <c r="H64" s="351">
        <f>(Tableau58[[#This Row],[masse salariale 2022 affectée par le vote du CNESER du15/11/2021 (150 et 231) en euros]]-Tableau58[[#This Row],[masse salariale 2021 affectée par le vote du CNESER du 24/11/2020 (150 et 231) en euros]])/Tableau58[[#This Row],[masse salariale 2021 affectée par le vote du CNESER du 24/11/2020 (150 et 231) en euros]]</f>
        <v>0.33563780872306886</v>
      </c>
      <c r="I64" s="352"/>
      <c r="J64" s="353">
        <v>1380957</v>
      </c>
      <c r="K64" s="354">
        <v>1362624</v>
      </c>
      <c r="L64" s="354">
        <v>1353063</v>
      </c>
      <c r="M64" s="351">
        <f>(Tableau58[[#This Row],[SCSP notifiées en CP votées par le CNESER en 2021 pour 2022]]-Tableau58[[#This Row],[SCSP notifiées en CP votées par le CNESER en 2020 pour 2021]])/Tableau58[[#This Row],[SCSP notifiées en CP votées par le CNESER en 2020 pour 2021]]</f>
        <v>-7.0166091306185716E-3</v>
      </c>
      <c r="N64" s="355"/>
      <c r="O64" s="353"/>
      <c r="P64" s="356"/>
      <c r="Q64" s="356"/>
      <c r="R64" s="357"/>
      <c r="S64" s="358"/>
      <c r="T64" s="359"/>
      <c r="U64" s="359"/>
      <c r="V64" s="114"/>
      <c r="W64" s="114"/>
      <c r="X64" s="114"/>
      <c r="Y64" s="114"/>
      <c r="Z64" s="114"/>
      <c r="AA64" s="114"/>
      <c r="AB64" s="114"/>
      <c r="AC64" s="114"/>
      <c r="AD64" s="114"/>
      <c r="AE64" s="114"/>
      <c r="AF64" s="114"/>
      <c r="AG64" s="114"/>
      <c r="AH64" s="114"/>
      <c r="AI64" s="114"/>
      <c r="AJ64" s="114"/>
      <c r="AK64" s="114"/>
      <c r="AL64" s="114"/>
      <c r="AM64" s="114"/>
      <c r="AN64" s="114"/>
      <c r="AO64" s="114"/>
    </row>
    <row r="65" spans="1:41" s="376" customFormat="1">
      <c r="A65" s="375"/>
      <c r="B65" s="364" t="s">
        <v>258</v>
      </c>
      <c r="C65" s="380" t="s">
        <v>185</v>
      </c>
      <c r="D65" s="381"/>
      <c r="E65" s="381"/>
      <c r="F65" s="381"/>
      <c r="G65" s="381"/>
      <c r="H65" s="382" t="e">
        <f>(Tableau58[[#This Row],[masse salariale 2022 affectée par le vote du CNESER du15/11/2021 (150 et 231) en euros]]-Tableau58[[#This Row],[masse salariale 2021 affectée par le vote du CNESER du 24/11/2020 (150 et 231) en euros]])/Tableau58[[#This Row],[masse salariale 2021 affectée par le vote du CNESER du 24/11/2020 (150 et 231) en euros]]</f>
        <v>#DIV/0!</v>
      </c>
      <c r="I65" s="383"/>
      <c r="J65" s="383"/>
      <c r="K65" s="383"/>
      <c r="L65" s="383"/>
      <c r="M65" s="382" t="e">
        <f>(Tableau58[[#This Row],[SCSP notifiées en CP votées par le CNESER en 2021 pour 2022]]-Tableau58[[#This Row],[SCSP notifiées en CP votées par le CNESER en 2020 pour 2021]])/Tableau58[[#This Row],[SCSP notifiées en CP votées par le CNESER en 2020 pour 2021]]</f>
        <v>#DIV/0!</v>
      </c>
      <c r="N65" s="380"/>
      <c r="O65" s="383"/>
      <c r="P65" s="380"/>
      <c r="Q65" s="380"/>
      <c r="R65" s="384">
        <v>363</v>
      </c>
      <c r="S65" s="384"/>
      <c r="T65" s="384"/>
      <c r="U65" s="384"/>
      <c r="V65" s="375"/>
      <c r="W65" s="375"/>
      <c r="X65" s="375"/>
      <c r="Y65" s="375"/>
      <c r="Z65" s="375"/>
      <c r="AA65" s="375"/>
      <c r="AB65" s="375"/>
      <c r="AC65" s="375"/>
      <c r="AD65" s="375"/>
      <c r="AE65" s="375"/>
      <c r="AF65" s="375"/>
      <c r="AG65" s="375"/>
      <c r="AH65" s="375"/>
      <c r="AI65" s="375"/>
      <c r="AJ65" s="375"/>
      <c r="AK65" s="375"/>
      <c r="AL65" s="375"/>
      <c r="AM65" s="375"/>
      <c r="AN65" s="375"/>
      <c r="AO65" s="375"/>
    </row>
    <row r="66" spans="1:41">
      <c r="A66" s="114" t="s">
        <v>428</v>
      </c>
      <c r="B66" s="313" t="s">
        <v>258</v>
      </c>
      <c r="C66" s="125" t="s">
        <v>186</v>
      </c>
      <c r="D66" s="347"/>
      <c r="E66" s="348"/>
      <c r="F66" s="349">
        <v>1008118</v>
      </c>
      <c r="G66" s="350">
        <v>1060038</v>
      </c>
      <c r="H66" s="351">
        <f>(Tableau58[[#This Row],[masse salariale 2022 affectée par le vote du CNESER du15/11/2021 (150 et 231) en euros]]-Tableau58[[#This Row],[masse salariale 2021 affectée par le vote du CNESER du 24/11/2020 (150 et 231) en euros]])/Tableau58[[#This Row],[masse salariale 2021 affectée par le vote du CNESER du 24/11/2020 (150 et 231) en euros]]</f>
        <v>5.1501907514794894E-2</v>
      </c>
      <c r="I66" s="352"/>
      <c r="J66" s="353">
        <v>2352630</v>
      </c>
      <c r="K66" s="354">
        <v>2357630</v>
      </c>
      <c r="L66" s="354">
        <v>2449550</v>
      </c>
      <c r="M66" s="351">
        <f>(Tableau58[[#This Row],[SCSP notifiées en CP votées par le CNESER en 2021 pour 2022]]-Tableau58[[#This Row],[SCSP notifiées en CP votées par le CNESER en 2020 pour 2021]])/Tableau58[[#This Row],[SCSP notifiées en CP votées par le CNESER en 2020 pour 2021]]</f>
        <v>3.898830605311266E-2</v>
      </c>
      <c r="N66" s="355"/>
      <c r="O66" s="353"/>
      <c r="P66" s="356"/>
      <c r="Q66" s="356"/>
      <c r="R66" s="357">
        <v>850</v>
      </c>
      <c r="S66" s="358">
        <v>837</v>
      </c>
      <c r="T66" s="359">
        <v>864</v>
      </c>
      <c r="U66" s="359"/>
      <c r="V66" s="114"/>
      <c r="W66" s="114"/>
      <c r="X66" s="114"/>
      <c r="Y66" s="114"/>
      <c r="Z66" s="114"/>
      <c r="AA66" s="114"/>
      <c r="AB66" s="114"/>
      <c r="AC66" s="114"/>
      <c r="AD66" s="114"/>
      <c r="AE66" s="114"/>
      <c r="AF66" s="114"/>
      <c r="AG66" s="114"/>
      <c r="AH66" s="114"/>
      <c r="AI66" s="114"/>
      <c r="AJ66" s="114"/>
      <c r="AK66" s="114"/>
      <c r="AL66" s="114"/>
      <c r="AM66" s="114"/>
      <c r="AN66" s="114"/>
      <c r="AO66" s="114"/>
    </row>
    <row r="67" spans="1:41" s="376" customFormat="1">
      <c r="A67" s="375" t="s">
        <v>428</v>
      </c>
      <c r="B67" s="364" t="s">
        <v>427</v>
      </c>
      <c r="C67" s="380" t="s">
        <v>187</v>
      </c>
      <c r="D67" s="381">
        <v>1303903</v>
      </c>
      <c r="E67" s="381"/>
      <c r="F67" s="381">
        <v>1308903</v>
      </c>
      <c r="G67" s="381">
        <v>10502035</v>
      </c>
      <c r="H67" s="382">
        <f>(Tableau58[[#This Row],[masse salariale 2022 affectée par le vote du CNESER du15/11/2021 (150 et 231) en euros]]-Tableau58[[#This Row],[masse salariale 2021 affectée par le vote du CNESER du 24/11/2020 (150 et 231) en euros]])/Tableau58[[#This Row],[masse salariale 2021 affectée par le vote du CNESER du 24/11/2020 (150 et 231) en euros]]</f>
        <v>7.0235395594631536</v>
      </c>
      <c r="I67" s="383"/>
      <c r="J67" s="383">
        <v>3178907</v>
      </c>
      <c r="K67" s="383">
        <v>3153882</v>
      </c>
      <c r="L67" s="383">
        <v>12352514</v>
      </c>
      <c r="M67" s="382">
        <f>(Tableau58[[#This Row],[SCSP notifiées en CP votées par le CNESER en 2021 pour 2022]]-Tableau58[[#This Row],[SCSP notifiées en CP votées par le CNESER en 2020 pour 2021]])/Tableau58[[#This Row],[SCSP notifiées en CP votées par le CNESER en 2020 pour 2021]]</f>
        <v>2.9166062649141598</v>
      </c>
      <c r="N67" s="380"/>
      <c r="O67" s="383"/>
      <c r="P67" s="380"/>
      <c r="Q67" s="380"/>
      <c r="R67" s="384">
        <v>778</v>
      </c>
      <c r="S67" s="384">
        <v>783</v>
      </c>
      <c r="T67" s="384">
        <v>796</v>
      </c>
      <c r="U67" s="384"/>
      <c r="V67" s="375"/>
      <c r="W67" s="375"/>
      <c r="X67" s="375"/>
      <c r="Y67" s="375"/>
      <c r="Z67" s="375"/>
      <c r="AA67" s="375"/>
      <c r="AB67" s="375"/>
      <c r="AC67" s="375"/>
      <c r="AD67" s="375"/>
      <c r="AE67" s="375"/>
      <c r="AF67" s="375"/>
      <c r="AG67" s="375"/>
      <c r="AH67" s="375"/>
      <c r="AI67" s="375"/>
      <c r="AJ67" s="375"/>
      <c r="AK67" s="375"/>
      <c r="AL67" s="375"/>
      <c r="AM67" s="375"/>
      <c r="AN67" s="375"/>
      <c r="AO67" s="375"/>
    </row>
    <row r="68" spans="1:41">
      <c r="A68" s="114" t="s">
        <v>331</v>
      </c>
      <c r="B68" s="313" t="s">
        <v>258</v>
      </c>
      <c r="C68" s="125" t="s">
        <v>188</v>
      </c>
      <c r="D68" s="347"/>
      <c r="E68" s="348"/>
      <c r="F68" s="349">
        <v>6292</v>
      </c>
      <c r="G68" s="350">
        <v>24406</v>
      </c>
      <c r="H68" s="351">
        <f>(Tableau58[[#This Row],[masse salariale 2022 affectée par le vote du CNESER du15/11/2021 (150 et 231) en euros]]-Tableau58[[#This Row],[masse salariale 2021 affectée par le vote du CNESER du 24/11/2020 (150 et 231) en euros]])/Tableau58[[#This Row],[masse salariale 2021 affectée par le vote du CNESER du 24/11/2020 (150 et 231) en euros]]</f>
        <v>2.878893833439288</v>
      </c>
      <c r="I68" s="352"/>
      <c r="J68" s="353">
        <v>2138460</v>
      </c>
      <c r="K68" s="354">
        <v>2128282</v>
      </c>
      <c r="L68" s="354">
        <v>2146396</v>
      </c>
      <c r="M68" s="351">
        <f>(Tableau58[[#This Row],[SCSP notifiées en CP votées par le CNESER en 2021 pour 2022]]-Tableau58[[#This Row],[SCSP notifiées en CP votées par le CNESER en 2020 pour 2021]])/Tableau58[[#This Row],[SCSP notifiées en CP votées par le CNESER en 2020 pour 2021]]</f>
        <v>8.5110901656829316E-3</v>
      </c>
      <c r="N68" s="355"/>
      <c r="O68" s="353"/>
      <c r="P68" s="356"/>
      <c r="Q68" s="356"/>
      <c r="R68" s="357">
        <v>219</v>
      </c>
      <c r="S68" s="358">
        <v>210</v>
      </c>
      <c r="T68" s="359">
        <v>219</v>
      </c>
      <c r="U68" s="360"/>
      <c r="V68" s="114"/>
      <c r="W68" s="114"/>
      <c r="X68" s="114"/>
      <c r="Y68" s="114"/>
      <c r="Z68" s="114"/>
      <c r="AA68" s="114"/>
      <c r="AB68" s="114"/>
      <c r="AC68" s="114"/>
      <c r="AD68" s="114"/>
      <c r="AE68" s="114"/>
      <c r="AF68" s="114"/>
      <c r="AG68" s="114"/>
      <c r="AH68" s="114"/>
      <c r="AI68" s="114"/>
      <c r="AJ68" s="114"/>
      <c r="AK68" s="114"/>
      <c r="AL68" s="114"/>
      <c r="AM68" s="114"/>
      <c r="AN68" s="114"/>
      <c r="AO68" s="114"/>
    </row>
    <row r="69" spans="1:41" s="376" customFormat="1">
      <c r="A69" s="375" t="s">
        <v>414</v>
      </c>
      <c r="B69" s="364" t="s">
        <v>258</v>
      </c>
      <c r="C69" s="380" t="s">
        <v>429</v>
      </c>
      <c r="D69" s="381"/>
      <c r="E69" s="381"/>
      <c r="F69" s="381"/>
      <c r="G69" s="381">
        <v>5745129</v>
      </c>
      <c r="H69" s="382" t="e">
        <f>(Tableau58[[#This Row],[masse salariale 2022 affectée par le vote du CNESER du15/11/2021 (150 et 231) en euros]]-Tableau58[[#This Row],[masse salariale 2021 affectée par le vote du CNESER du 24/11/2020 (150 et 231) en euros]])/Tableau58[[#This Row],[masse salariale 2021 affectée par le vote du CNESER du 24/11/2020 (150 et 231) en euros]]</f>
        <v>#DIV/0!</v>
      </c>
      <c r="I69" s="383"/>
      <c r="J69" s="383"/>
      <c r="K69" s="383"/>
      <c r="L69" s="383">
        <v>7434919</v>
      </c>
      <c r="M69" s="382" t="e">
        <f>(Tableau58[[#This Row],[SCSP notifiées en CP votées par le CNESER en 2021 pour 2022]]-Tableau58[[#This Row],[SCSP notifiées en CP votées par le CNESER en 2020 pour 2021]])/Tableau58[[#This Row],[SCSP notifiées en CP votées par le CNESER en 2020 pour 2021]]</f>
        <v>#DIV/0!</v>
      </c>
      <c r="N69" s="384">
        <v>66</v>
      </c>
      <c r="O69" s="384">
        <v>69</v>
      </c>
      <c r="P69" s="384"/>
      <c r="Q69" s="380"/>
      <c r="R69" s="384"/>
      <c r="S69" s="384"/>
      <c r="T69" s="384"/>
      <c r="U69" s="385"/>
      <c r="V69" s="375"/>
      <c r="W69" s="375"/>
      <c r="X69" s="375"/>
      <c r="Y69" s="375"/>
      <c r="Z69" s="375"/>
      <c r="AA69" s="375"/>
      <c r="AB69" s="375"/>
      <c r="AC69" s="375"/>
      <c r="AD69" s="375"/>
      <c r="AE69" s="375"/>
      <c r="AF69" s="375"/>
      <c r="AG69" s="375"/>
      <c r="AH69" s="375"/>
      <c r="AI69" s="375"/>
      <c r="AJ69" s="375"/>
      <c r="AK69" s="375"/>
      <c r="AL69" s="375"/>
      <c r="AM69" s="375"/>
      <c r="AN69" s="375"/>
      <c r="AO69" s="375"/>
    </row>
    <row r="70" spans="1:41">
      <c r="A70" s="114" t="s">
        <v>414</v>
      </c>
      <c r="B70" s="313" t="s">
        <v>258</v>
      </c>
      <c r="C70" s="125" t="s">
        <v>430</v>
      </c>
      <c r="D70" s="347"/>
      <c r="E70" s="348"/>
      <c r="F70" s="349">
        <v>6579402</v>
      </c>
      <c r="G70" s="350">
        <v>6579402</v>
      </c>
      <c r="H70" s="351">
        <f>(Tableau58[[#This Row],[masse salariale 2022 affectée par le vote du CNESER du15/11/2021 (150 et 231) en euros]]-Tableau58[[#This Row],[masse salariale 2021 affectée par le vote du CNESER du 24/11/2020 (150 et 231) en euros]])/Tableau58[[#This Row],[masse salariale 2021 affectée par le vote du CNESER du 24/11/2020 (150 et 231) en euros]]</f>
        <v>0</v>
      </c>
      <c r="I70" s="352"/>
      <c r="J70" s="353"/>
      <c r="K70" s="354">
        <v>22211416</v>
      </c>
      <c r="L70" s="354">
        <v>22211416</v>
      </c>
      <c r="M70" s="351">
        <f>(Tableau58[[#This Row],[SCSP notifiées en CP votées par le CNESER en 2021 pour 2022]]-Tableau58[[#This Row],[SCSP notifiées en CP votées par le CNESER en 2020 pour 2021]])/Tableau58[[#This Row],[SCSP notifiées en CP votées par le CNESER en 2020 pour 2021]]</f>
        <v>0</v>
      </c>
      <c r="N70" s="355"/>
      <c r="O70" s="353"/>
      <c r="P70" s="356"/>
      <c r="Q70" s="356"/>
      <c r="R70" s="357"/>
      <c r="S70" s="358"/>
      <c r="T70" s="359"/>
      <c r="U70" s="360"/>
      <c r="V70" s="114"/>
      <c r="W70" s="114"/>
      <c r="X70" s="114"/>
      <c r="Y70" s="114"/>
      <c r="Z70" s="114"/>
      <c r="AA70" s="114"/>
      <c r="AB70" s="114"/>
      <c r="AC70" s="114"/>
      <c r="AD70" s="114"/>
      <c r="AE70" s="114"/>
      <c r="AF70" s="114"/>
      <c r="AG70" s="114"/>
      <c r="AH70" s="114"/>
      <c r="AI70" s="114"/>
      <c r="AJ70" s="114"/>
      <c r="AK70" s="114"/>
      <c r="AL70" s="114"/>
      <c r="AM70" s="114"/>
      <c r="AN70" s="114"/>
      <c r="AO70" s="114"/>
    </row>
    <row r="71" spans="1:41" s="376" customFormat="1">
      <c r="A71" s="375" t="s">
        <v>414</v>
      </c>
      <c r="B71" s="364" t="s">
        <v>258</v>
      </c>
      <c r="C71" s="380" t="s">
        <v>431</v>
      </c>
      <c r="D71" s="381"/>
      <c r="E71" s="381"/>
      <c r="F71" s="381">
        <v>6454524</v>
      </c>
      <c r="G71" s="381">
        <v>6480687</v>
      </c>
      <c r="H71" s="382">
        <f>(Tableau58[[#This Row],[masse salariale 2022 affectée par le vote du CNESER du15/11/2021 (150 et 231) en euros]]-Tableau58[[#This Row],[masse salariale 2021 affectée par le vote du CNESER du 24/11/2020 (150 et 231) en euros]])/Tableau58[[#This Row],[masse salariale 2021 affectée par le vote du CNESER du 24/11/2020 (150 et 231) en euros]]</f>
        <v>4.0534360086041978E-3</v>
      </c>
      <c r="I71" s="383"/>
      <c r="J71" s="383"/>
      <c r="K71" s="383">
        <v>9930789</v>
      </c>
      <c r="L71" s="383">
        <v>9956952</v>
      </c>
      <c r="M71" s="382">
        <f>(Tableau58[[#This Row],[SCSP notifiées en CP votées par le CNESER en 2021 pour 2022]]-Tableau58[[#This Row],[SCSP notifiées en CP votées par le CNESER en 2020 pour 2021]])/Tableau58[[#This Row],[SCSP notifiées en CP votées par le CNESER en 2020 pour 2021]]</f>
        <v>2.6345338723841581E-3</v>
      </c>
      <c r="N71" s="380"/>
      <c r="O71" s="383"/>
      <c r="P71" s="380"/>
      <c r="Q71" s="380"/>
      <c r="R71" s="384"/>
      <c r="S71" s="384"/>
      <c r="T71" s="384"/>
      <c r="U71" s="385"/>
      <c r="V71" s="375"/>
      <c r="W71" s="375"/>
      <c r="X71" s="375"/>
      <c r="Y71" s="375"/>
      <c r="Z71" s="375"/>
      <c r="AA71" s="375"/>
      <c r="AB71" s="375"/>
      <c r="AC71" s="375"/>
      <c r="AD71" s="375"/>
      <c r="AE71" s="375"/>
      <c r="AF71" s="375"/>
      <c r="AG71" s="375"/>
      <c r="AH71" s="375"/>
      <c r="AI71" s="375"/>
      <c r="AJ71" s="375"/>
      <c r="AK71" s="375"/>
      <c r="AL71" s="375"/>
      <c r="AM71" s="375"/>
      <c r="AN71" s="375"/>
      <c r="AO71" s="375"/>
    </row>
    <row r="72" spans="1:41">
      <c r="A72" s="114" t="s">
        <v>414</v>
      </c>
      <c r="B72" s="313" t="s">
        <v>427</v>
      </c>
      <c r="C72" s="125" t="s">
        <v>432</v>
      </c>
      <c r="D72" s="347"/>
      <c r="E72" s="348"/>
      <c r="F72" s="349">
        <v>56766868</v>
      </c>
      <c r="G72" s="350">
        <v>57744031</v>
      </c>
      <c r="H72" s="351">
        <f>(Tableau58[[#This Row],[masse salariale 2022 affectée par le vote du CNESER du15/11/2021 (150 et 231) en euros]]-Tableau58[[#This Row],[masse salariale 2021 affectée par le vote du CNESER du 24/11/2020 (150 et 231) en euros]])/Tableau58[[#This Row],[masse salariale 2021 affectée par le vote du CNESER du 24/11/2020 (150 et 231) en euros]]</f>
        <v>1.7213614814895195E-2</v>
      </c>
      <c r="I72" s="352"/>
      <c r="J72" s="353"/>
      <c r="K72" s="354">
        <v>72041128</v>
      </c>
      <c r="L72" s="354">
        <v>72739238</v>
      </c>
      <c r="M72" s="351">
        <f>(Tableau58[[#This Row],[SCSP notifiées en CP votées par le CNESER en 2021 pour 2022]]-Tableau58[[#This Row],[SCSP notifiées en CP votées par le CNESER en 2020 pour 2021]])/Tableau58[[#This Row],[SCSP notifiées en CP votées par le CNESER en 2020 pour 2021]]</f>
        <v>9.6904368293622492E-3</v>
      </c>
      <c r="N72" s="355"/>
      <c r="O72" s="353"/>
      <c r="P72" s="356"/>
      <c r="Q72" s="356"/>
      <c r="R72" s="357"/>
      <c r="S72" s="358"/>
      <c r="T72" s="359"/>
      <c r="U72" s="360"/>
      <c r="V72" s="114"/>
      <c r="W72" s="114"/>
      <c r="X72" s="114"/>
      <c r="Y72" s="114"/>
      <c r="Z72" s="114"/>
      <c r="AA72" s="114"/>
      <c r="AB72" s="114"/>
      <c r="AC72" s="114"/>
      <c r="AD72" s="114"/>
      <c r="AE72" s="114"/>
      <c r="AF72" s="114"/>
      <c r="AG72" s="114"/>
      <c r="AH72" s="114"/>
      <c r="AI72" s="114"/>
      <c r="AJ72" s="114"/>
      <c r="AK72" s="114"/>
      <c r="AL72" s="114"/>
      <c r="AM72" s="114"/>
      <c r="AN72" s="114"/>
      <c r="AO72" s="114"/>
    </row>
    <row r="73" spans="1:41" s="376" customFormat="1">
      <c r="A73" s="375" t="s">
        <v>414</v>
      </c>
      <c r="B73" s="364" t="s">
        <v>258</v>
      </c>
      <c r="C73" s="380" t="s">
        <v>433</v>
      </c>
      <c r="D73" s="381"/>
      <c r="E73" s="381"/>
      <c r="F73" s="381"/>
      <c r="G73" s="381">
        <v>665717</v>
      </c>
      <c r="H73" s="382" t="e">
        <f>(Tableau58[[#This Row],[masse salariale 2022 affectée par le vote du CNESER du15/11/2021 (150 et 231) en euros]]-Tableau58[[#This Row],[masse salariale 2021 affectée par le vote du CNESER du 24/11/2020 (150 et 231) en euros]])/Tableau58[[#This Row],[masse salariale 2021 affectée par le vote du CNESER du 24/11/2020 (150 et 231) en euros]]</f>
        <v>#DIV/0!</v>
      </c>
      <c r="I73" s="383"/>
      <c r="J73" s="383"/>
      <c r="K73" s="383"/>
      <c r="L73" s="383">
        <v>1094981</v>
      </c>
      <c r="M73" s="382" t="e">
        <f>(Tableau58[[#This Row],[SCSP notifiées en CP votées par le CNESER en 2021 pour 2022]]-Tableau58[[#This Row],[SCSP notifiées en CP votées par le CNESER en 2020 pour 2021]])/Tableau58[[#This Row],[SCSP notifiées en CP votées par le CNESER en 2020 pour 2021]]</f>
        <v>#DIV/0!</v>
      </c>
      <c r="N73" s="380"/>
      <c r="O73" s="383"/>
      <c r="P73" s="380"/>
      <c r="Q73" s="380"/>
      <c r="R73" s="384"/>
      <c r="S73" s="384"/>
      <c r="T73" s="384"/>
      <c r="U73" s="385"/>
      <c r="V73" s="375"/>
      <c r="W73" s="375"/>
      <c r="X73" s="375"/>
      <c r="Y73" s="375"/>
      <c r="Z73" s="375"/>
      <c r="AA73" s="375"/>
      <c r="AB73" s="375"/>
      <c r="AC73" s="375"/>
      <c r="AD73" s="375"/>
      <c r="AE73" s="375"/>
      <c r="AF73" s="375"/>
      <c r="AG73" s="375"/>
      <c r="AH73" s="375"/>
      <c r="AI73" s="375"/>
      <c r="AJ73" s="375"/>
      <c r="AK73" s="375"/>
      <c r="AL73" s="375"/>
      <c r="AM73" s="375"/>
      <c r="AN73" s="375"/>
      <c r="AO73" s="375"/>
    </row>
    <row r="74" spans="1:41">
      <c r="A74" s="114"/>
      <c r="B74" s="313" t="s">
        <v>258</v>
      </c>
      <c r="C74" s="125" t="s">
        <v>268</v>
      </c>
      <c r="D74" s="347"/>
      <c r="E74" s="348"/>
      <c r="F74" s="349">
        <v>170557</v>
      </c>
      <c r="G74" s="350">
        <v>171276</v>
      </c>
      <c r="H74" s="351">
        <f>(Tableau58[[#This Row],[masse salariale 2022 affectée par le vote du CNESER du15/11/2021 (150 et 231) en euros]]-Tableau58[[#This Row],[masse salariale 2021 affectée par le vote du CNESER du 24/11/2020 (150 et 231) en euros]])/Tableau58[[#This Row],[masse salariale 2021 affectée par le vote du CNESER du 24/11/2020 (150 et 231) en euros]]</f>
        <v>4.2155994770076864E-3</v>
      </c>
      <c r="I74" s="352"/>
      <c r="J74" s="353">
        <v>277443</v>
      </c>
      <c r="K74" s="354">
        <v>277443</v>
      </c>
      <c r="L74" s="362">
        <v>278162</v>
      </c>
      <c r="M74" s="351">
        <f>(Tableau58[[#This Row],[SCSP notifiées en CP votées par le CNESER en 2021 pour 2022]]-Tableau58[[#This Row],[SCSP notifiées en CP votées par le CNESER en 2020 pour 2021]])/Tableau58[[#This Row],[SCSP notifiées en CP votées par le CNESER en 2020 pour 2021]]</f>
        <v>2.5915233038858432E-3</v>
      </c>
      <c r="N74" s="355"/>
      <c r="O74" s="353"/>
      <c r="P74" s="356"/>
      <c r="Q74" s="356"/>
      <c r="R74" s="357"/>
      <c r="S74" s="358"/>
      <c r="T74" s="359"/>
      <c r="U74" s="359"/>
      <c r="V74" s="114"/>
      <c r="W74" s="114"/>
      <c r="X74" s="114"/>
      <c r="Y74" s="114"/>
      <c r="Z74" s="114"/>
      <c r="AA74" s="114"/>
      <c r="AB74" s="114"/>
      <c r="AC74" s="114"/>
      <c r="AD74" s="114"/>
      <c r="AE74" s="114"/>
      <c r="AF74" s="114"/>
      <c r="AG74" s="114"/>
      <c r="AH74" s="114"/>
      <c r="AI74" s="114"/>
      <c r="AJ74" s="114"/>
      <c r="AK74" s="114"/>
      <c r="AL74" s="114"/>
      <c r="AM74" s="114"/>
      <c r="AN74" s="114"/>
      <c r="AO74" s="114"/>
    </row>
    <row r="75" spans="1:41" s="376" customFormat="1">
      <c r="A75" s="375" t="s">
        <v>414</v>
      </c>
      <c r="B75" s="364" t="s">
        <v>258</v>
      </c>
      <c r="C75" s="380" t="s">
        <v>434</v>
      </c>
      <c r="D75" s="381"/>
      <c r="E75" s="381"/>
      <c r="F75" s="381">
        <v>120836</v>
      </c>
      <c r="G75" s="381">
        <v>121196</v>
      </c>
      <c r="H75" s="382">
        <f>(Tableau58[[#This Row],[masse salariale 2022 affectée par le vote du CNESER du15/11/2021 (150 et 231) en euros]]-Tableau58[[#This Row],[masse salariale 2021 affectée par le vote du CNESER du 24/11/2020 (150 et 231) en euros]])/Tableau58[[#This Row],[masse salariale 2021 affectée par le vote du CNESER du 24/11/2020 (150 et 231) en euros]]</f>
        <v>2.9792445959813301E-3</v>
      </c>
      <c r="I75" s="383"/>
      <c r="J75" s="383"/>
      <c r="K75" s="383">
        <v>9675219</v>
      </c>
      <c r="L75" s="383">
        <v>9675579</v>
      </c>
      <c r="M75" s="382">
        <f>(Tableau58[[#This Row],[SCSP notifiées en CP votées par le CNESER en 2021 pour 2022]]-Tableau58[[#This Row],[SCSP notifiées en CP votées par le CNESER en 2020 pour 2021]])/Tableau58[[#This Row],[SCSP notifiées en CP votées par le CNESER en 2020 pour 2021]]</f>
        <v>3.7208460087570113E-5</v>
      </c>
      <c r="N75" s="380"/>
      <c r="O75" s="383"/>
      <c r="P75" s="380"/>
      <c r="Q75" s="380"/>
      <c r="R75" s="384"/>
      <c r="S75" s="384"/>
      <c r="T75" s="384"/>
      <c r="U75" s="385"/>
      <c r="V75" s="375"/>
      <c r="W75" s="375"/>
      <c r="X75" s="375"/>
      <c r="Y75" s="375"/>
      <c r="Z75" s="375"/>
      <c r="AA75" s="375"/>
      <c r="AB75" s="375"/>
      <c r="AC75" s="375"/>
      <c r="AD75" s="375"/>
      <c r="AE75" s="375"/>
      <c r="AF75" s="375"/>
      <c r="AG75" s="375"/>
      <c r="AH75" s="375"/>
      <c r="AI75" s="375"/>
      <c r="AJ75" s="375"/>
      <c r="AK75" s="375"/>
      <c r="AL75" s="375"/>
      <c r="AM75" s="375"/>
      <c r="AN75" s="375"/>
      <c r="AO75" s="375"/>
    </row>
    <row r="76" spans="1:41">
      <c r="A76" s="114" t="s">
        <v>414</v>
      </c>
      <c r="B76" s="313" t="s">
        <v>258</v>
      </c>
      <c r="C76" s="125" t="s">
        <v>435</v>
      </c>
      <c r="D76" s="347"/>
      <c r="E76" s="348"/>
      <c r="F76" s="349">
        <v>1258761</v>
      </c>
      <c r="G76" s="350">
        <v>1264161</v>
      </c>
      <c r="H76" s="351">
        <f>(Tableau58[[#This Row],[masse salariale 2022 affectée par le vote du CNESER du15/11/2021 (150 et 231) en euros]]-Tableau58[[#This Row],[masse salariale 2021 affectée par le vote du CNESER du 24/11/2020 (150 et 231) en euros]])/Tableau58[[#This Row],[masse salariale 2021 affectée par le vote du CNESER du 24/11/2020 (150 et 231) en euros]]</f>
        <v>4.2899327195551817E-3</v>
      </c>
      <c r="I76" s="352"/>
      <c r="J76" s="353"/>
      <c r="K76" s="354">
        <v>3207195</v>
      </c>
      <c r="L76" s="354">
        <v>3212595</v>
      </c>
      <c r="M76" s="351">
        <f>(Tableau58[[#This Row],[SCSP notifiées en CP votées par le CNESER en 2021 pour 2022]]-Tableau58[[#This Row],[SCSP notifiées en CP votées par le CNESER en 2020 pour 2021]])/Tableau58[[#This Row],[SCSP notifiées en CP votées par le CNESER en 2020 pour 2021]]</f>
        <v>1.6837142736877552E-3</v>
      </c>
      <c r="N76" s="355"/>
      <c r="O76" s="353"/>
      <c r="P76" s="356"/>
      <c r="Q76" s="356"/>
      <c r="R76" s="357"/>
      <c r="S76" s="358"/>
      <c r="T76" s="359"/>
      <c r="U76" s="360"/>
      <c r="V76" s="114"/>
      <c r="W76" s="114"/>
      <c r="X76" s="114"/>
      <c r="Y76" s="114"/>
      <c r="Z76" s="114"/>
      <c r="AA76" s="114"/>
      <c r="AB76" s="114"/>
      <c r="AC76" s="114"/>
      <c r="AD76" s="114"/>
      <c r="AE76" s="114"/>
      <c r="AF76" s="114"/>
      <c r="AG76" s="114"/>
      <c r="AH76" s="114"/>
      <c r="AI76" s="114"/>
      <c r="AJ76" s="114"/>
      <c r="AK76" s="114"/>
      <c r="AL76" s="114"/>
      <c r="AM76" s="114"/>
      <c r="AN76" s="114"/>
      <c r="AO76" s="114"/>
    </row>
    <row r="77" spans="1:41" s="376" customFormat="1">
      <c r="A77" s="375" t="s">
        <v>414</v>
      </c>
      <c r="B77" s="364" t="s">
        <v>258</v>
      </c>
      <c r="C77" s="380" t="s">
        <v>436</v>
      </c>
      <c r="D77" s="381"/>
      <c r="E77" s="381"/>
      <c r="F77" s="381">
        <v>572041</v>
      </c>
      <c r="G77" s="381">
        <v>679201</v>
      </c>
      <c r="H77" s="382">
        <f>(Tableau58[[#This Row],[masse salariale 2022 affectée par le vote du CNESER du15/11/2021 (150 et 231) en euros]]-Tableau58[[#This Row],[masse salariale 2021 affectée par le vote du CNESER du 24/11/2020 (150 et 231) en euros]])/Tableau58[[#This Row],[masse salariale 2021 affectée par le vote du CNESER du 24/11/2020 (150 et 231) en euros]]</f>
        <v>0.18732922989785697</v>
      </c>
      <c r="I77" s="383"/>
      <c r="J77" s="383"/>
      <c r="K77" s="383">
        <v>946803</v>
      </c>
      <c r="L77" s="383">
        <v>1099709</v>
      </c>
      <c r="M77" s="382">
        <f>(Tableau58[[#This Row],[SCSP notifiées en CP votées par le CNESER en 2021 pour 2022]]-Tableau58[[#This Row],[SCSP notifiées en CP votées par le CNESER en 2020 pour 2021]])/Tableau58[[#This Row],[SCSP notifiées en CP votées par le CNESER en 2020 pour 2021]]</f>
        <v>0.161497164668891</v>
      </c>
      <c r="N77" s="380"/>
      <c r="O77" s="383"/>
      <c r="P77" s="380"/>
      <c r="Q77" s="380"/>
      <c r="R77" s="384"/>
      <c r="S77" s="384"/>
      <c r="T77" s="384"/>
      <c r="U77" s="385"/>
      <c r="V77" s="375"/>
      <c r="W77" s="375"/>
      <c r="X77" s="375"/>
      <c r="Y77" s="375"/>
      <c r="Z77" s="375"/>
      <c r="AA77" s="375"/>
      <c r="AB77" s="375"/>
      <c r="AC77" s="375"/>
      <c r="AD77" s="375"/>
      <c r="AE77" s="375"/>
      <c r="AF77" s="375"/>
      <c r="AG77" s="375"/>
      <c r="AH77" s="375"/>
      <c r="AI77" s="375"/>
      <c r="AJ77" s="375"/>
      <c r="AK77" s="375"/>
      <c r="AL77" s="375"/>
      <c r="AM77" s="375"/>
      <c r="AN77" s="375"/>
      <c r="AO77" s="375"/>
    </row>
    <row r="78" spans="1:41">
      <c r="A78" s="114" t="s">
        <v>414</v>
      </c>
      <c r="B78" s="313" t="s">
        <v>258</v>
      </c>
      <c r="C78" s="125" t="s">
        <v>437</v>
      </c>
      <c r="D78" s="347"/>
      <c r="E78" s="348"/>
      <c r="F78" s="349">
        <v>648596</v>
      </c>
      <c r="G78" s="350">
        <v>801382</v>
      </c>
      <c r="H78" s="351">
        <f>(Tableau58[[#This Row],[masse salariale 2022 affectée par le vote du CNESER du15/11/2021 (150 et 231) en euros]]-Tableau58[[#This Row],[masse salariale 2021 affectée par le vote du CNESER du 24/11/2020 (150 et 231) en euros]])/Tableau58[[#This Row],[masse salariale 2021 affectée par le vote du CNESER du 24/11/2020 (150 et 231) en euros]]</f>
        <v>0.23556420329450073</v>
      </c>
      <c r="I78" s="352"/>
      <c r="J78" s="353"/>
      <c r="K78" s="354">
        <v>6179940</v>
      </c>
      <c r="L78" s="354">
        <v>6332726</v>
      </c>
      <c r="M78" s="351">
        <f>(Tableau58[[#This Row],[SCSP notifiées en CP votées par le CNESER en 2021 pour 2022]]-Tableau58[[#This Row],[SCSP notifiées en CP votées par le CNESER en 2020 pour 2021]])/Tableau58[[#This Row],[SCSP notifiées en CP votées par le CNESER en 2020 pour 2021]]</f>
        <v>2.4722893749777507E-2</v>
      </c>
      <c r="N78" s="355"/>
      <c r="O78" s="353"/>
      <c r="P78" s="356"/>
      <c r="Q78" s="356"/>
      <c r="R78" s="357"/>
      <c r="S78" s="358"/>
      <c r="T78" s="359"/>
      <c r="U78" s="360"/>
      <c r="V78" s="114"/>
      <c r="W78" s="114"/>
      <c r="X78" s="114"/>
      <c r="Y78" s="114"/>
      <c r="Z78" s="114"/>
      <c r="AA78" s="114"/>
      <c r="AB78" s="114"/>
      <c r="AC78" s="114"/>
      <c r="AD78" s="114"/>
      <c r="AE78" s="114"/>
      <c r="AF78" s="114"/>
      <c r="AG78" s="114"/>
      <c r="AH78" s="114"/>
      <c r="AI78" s="114"/>
      <c r="AJ78" s="114"/>
      <c r="AK78" s="114"/>
      <c r="AL78" s="114"/>
      <c r="AM78" s="114"/>
      <c r="AN78" s="114"/>
      <c r="AO78" s="114"/>
    </row>
    <row r="79" spans="1:41" s="376" customFormat="1">
      <c r="A79" s="375"/>
      <c r="B79" s="364" t="s">
        <v>258</v>
      </c>
      <c r="C79" s="380" t="s">
        <v>277</v>
      </c>
      <c r="D79" s="381"/>
      <c r="E79" s="381"/>
      <c r="F79" s="381">
        <v>208075</v>
      </c>
      <c r="G79" s="381">
        <v>256325</v>
      </c>
      <c r="H79" s="382">
        <f>(Tableau58[[#This Row],[masse salariale 2022 affectée par le vote du CNESER du15/11/2021 (150 et 231) en euros]]-Tableau58[[#This Row],[masse salariale 2021 affectée par le vote du CNESER du 24/11/2020 (150 et 231) en euros]])/Tableau58[[#This Row],[masse salariale 2021 affectée par le vote du CNESER du 24/11/2020 (150 et 231) en euros]]</f>
        <v>0.23188754055028235</v>
      </c>
      <c r="I79" s="383"/>
      <c r="J79" s="383">
        <v>784225</v>
      </c>
      <c r="K79" s="383">
        <v>971683</v>
      </c>
      <c r="L79" s="383">
        <v>1019933</v>
      </c>
      <c r="M79" s="382">
        <f>(Tableau58[[#This Row],[SCSP notifiées en CP votées par le CNESER en 2021 pour 2022]]-Tableau58[[#This Row],[SCSP notifiées en CP votées par le CNESER en 2020 pour 2021]])/Tableau58[[#This Row],[SCSP notifiées en CP votées par le CNESER en 2020 pour 2021]]</f>
        <v>4.9656112127103177E-2</v>
      </c>
      <c r="N79" s="380"/>
      <c r="O79" s="386"/>
      <c r="P79" s="380"/>
      <c r="Q79" s="380"/>
      <c r="R79" s="384">
        <v>1767</v>
      </c>
      <c r="S79" s="384">
        <v>1746</v>
      </c>
      <c r="T79" s="384">
        <v>1709</v>
      </c>
      <c r="U79" s="384"/>
      <c r="V79" s="375"/>
      <c r="W79" s="375"/>
      <c r="X79" s="375"/>
      <c r="Y79" s="375"/>
      <c r="Z79" s="375"/>
      <c r="AA79" s="375"/>
      <c r="AB79" s="375"/>
      <c r="AC79" s="375"/>
      <c r="AD79" s="375"/>
      <c r="AE79" s="375"/>
      <c r="AF79" s="375"/>
      <c r="AG79" s="375"/>
      <c r="AH79" s="375"/>
      <c r="AI79" s="375"/>
      <c r="AJ79" s="375"/>
      <c r="AK79" s="375"/>
      <c r="AL79" s="375"/>
      <c r="AM79" s="375"/>
      <c r="AN79" s="375"/>
      <c r="AO79" s="375"/>
    </row>
    <row r="80" spans="1:41">
      <c r="A80" s="114"/>
      <c r="B80" s="313" t="s">
        <v>258</v>
      </c>
      <c r="C80" s="125" t="s">
        <v>308</v>
      </c>
      <c r="D80" s="347">
        <v>1375505</v>
      </c>
      <c r="E80" s="348"/>
      <c r="F80" s="349">
        <v>1482820</v>
      </c>
      <c r="G80" s="350">
        <v>1540503</v>
      </c>
      <c r="H80" s="351">
        <f>(Tableau58[[#This Row],[masse salariale 2022 affectée par le vote du CNESER du15/11/2021 (150 et 231) en euros]]-Tableau58[[#This Row],[masse salariale 2021 affectée par le vote du CNESER du 24/11/2020 (150 et 231) en euros]])/Tableau58[[#This Row],[masse salariale 2021 affectée par le vote du CNESER du 24/11/2020 (150 et 231) en euros]]</f>
        <v>3.8900878056675796E-2</v>
      </c>
      <c r="I80" s="352"/>
      <c r="J80" s="353"/>
      <c r="K80" s="354">
        <v>2328273</v>
      </c>
      <c r="L80" s="354">
        <v>2290956</v>
      </c>
      <c r="M80" s="351">
        <f>(Tableau58[[#This Row],[SCSP notifiées en CP votées par le CNESER en 2021 pour 2022]]-Tableau58[[#This Row],[SCSP notifiées en CP votées par le CNESER en 2020 pour 2021]])/Tableau58[[#This Row],[SCSP notifiées en CP votées par le CNESER en 2020 pour 2021]]</f>
        <v>-1.6027759631280353E-2</v>
      </c>
      <c r="N80" s="355"/>
      <c r="O80" s="353"/>
      <c r="P80" s="356"/>
      <c r="Q80" s="356"/>
      <c r="R80" s="357"/>
      <c r="S80" s="358"/>
      <c r="T80" s="359"/>
      <c r="U80" s="359"/>
      <c r="V80" s="114"/>
      <c r="W80" s="114"/>
      <c r="X80" s="114"/>
      <c r="Y80" s="114"/>
      <c r="Z80" s="114"/>
      <c r="AA80" s="114"/>
      <c r="AB80" s="114"/>
      <c r="AC80" s="114"/>
      <c r="AD80" s="114"/>
      <c r="AE80" s="114"/>
      <c r="AF80" s="114"/>
      <c r="AG80" s="114"/>
      <c r="AH80" s="114"/>
      <c r="AI80" s="114"/>
      <c r="AJ80" s="114"/>
      <c r="AK80" s="114"/>
      <c r="AL80" s="114"/>
      <c r="AM80" s="114"/>
      <c r="AN80" s="114"/>
      <c r="AO80" s="114"/>
    </row>
    <row r="81" spans="1:41" s="376" customFormat="1">
      <c r="A81" s="375"/>
      <c r="B81" s="364" t="s">
        <v>258</v>
      </c>
      <c r="C81" s="380" t="s">
        <v>262</v>
      </c>
      <c r="D81" s="381">
        <v>1124796</v>
      </c>
      <c r="E81" s="381"/>
      <c r="F81" s="381">
        <v>1373220</v>
      </c>
      <c r="G81" s="381">
        <v>1454403</v>
      </c>
      <c r="H81" s="382">
        <f>(Tableau58[[#This Row],[masse salariale 2022 affectée par le vote du CNESER du15/11/2021 (150 et 231) en euros]]-Tableau58[[#This Row],[masse salariale 2021 affectée par le vote du CNESER du 24/11/2020 (150 et 231) en euros]])/Tableau58[[#This Row],[masse salariale 2021 affectée par le vote du CNESER du 24/11/2020 (150 et 231) en euros]]</f>
        <v>5.9118713680255168E-2</v>
      </c>
      <c r="I81" s="383"/>
      <c r="J81" s="383">
        <v>1716903</v>
      </c>
      <c r="K81" s="383">
        <v>1841935</v>
      </c>
      <c r="L81" s="383">
        <v>1938118</v>
      </c>
      <c r="M81" s="382">
        <f>(Tableau58[[#This Row],[SCSP notifiées en CP votées par le CNESER en 2021 pour 2022]]-Tableau58[[#This Row],[SCSP notifiées en CP votées par le CNESER en 2020 pour 2021]])/Tableau58[[#This Row],[SCSP notifiées en CP votées par le CNESER en 2020 pour 2021]]</f>
        <v>5.2218455048630923E-2</v>
      </c>
      <c r="N81" s="380"/>
      <c r="O81" s="383"/>
      <c r="P81" s="380"/>
      <c r="Q81" s="380"/>
      <c r="R81" s="384"/>
      <c r="S81" s="384"/>
      <c r="T81" s="384"/>
      <c r="U81" s="384"/>
      <c r="V81" s="375"/>
      <c r="W81" s="375"/>
      <c r="X81" s="375"/>
      <c r="Y81" s="375"/>
      <c r="Z81" s="375"/>
      <c r="AA81" s="375"/>
      <c r="AB81" s="375"/>
      <c r="AC81" s="375"/>
      <c r="AD81" s="375"/>
      <c r="AE81" s="375"/>
      <c r="AF81" s="375"/>
      <c r="AG81" s="375"/>
      <c r="AH81" s="375"/>
      <c r="AI81" s="375"/>
      <c r="AJ81" s="375"/>
      <c r="AK81" s="375"/>
      <c r="AL81" s="375"/>
      <c r="AM81" s="375"/>
      <c r="AN81" s="375"/>
      <c r="AO81" s="375"/>
    </row>
    <row r="82" spans="1:41">
      <c r="A82" s="114"/>
      <c r="B82" s="313" t="s">
        <v>258</v>
      </c>
      <c r="C82" s="125" t="s">
        <v>269</v>
      </c>
      <c r="D82" s="347"/>
      <c r="E82" s="348"/>
      <c r="F82" s="349">
        <v>884350</v>
      </c>
      <c r="G82" s="350">
        <v>969255</v>
      </c>
      <c r="H82" s="351">
        <f>(Tableau58[[#This Row],[masse salariale 2022 affectée par le vote du CNESER du15/11/2021 (150 et 231) en euros]]-Tableau58[[#This Row],[masse salariale 2021 affectée par le vote du CNESER du 24/11/2020 (150 et 231) en euros]])/Tableau58[[#This Row],[masse salariale 2021 affectée par le vote du CNESER du 24/11/2020 (150 et 231) en euros]]</f>
        <v>9.6008367727709612E-2</v>
      </c>
      <c r="I82" s="352"/>
      <c r="J82" s="353">
        <v>1480475</v>
      </c>
      <c r="K82" s="354">
        <v>1658360</v>
      </c>
      <c r="L82" s="362">
        <v>1730708</v>
      </c>
      <c r="M82" s="351">
        <f>(Tableau58[[#This Row],[SCSP notifiées en CP votées par le CNESER en 2021 pour 2022]]-Tableau58[[#This Row],[SCSP notifiées en CP votées par le CNESER en 2020 pour 2021]])/Tableau58[[#This Row],[SCSP notifiées en CP votées par le CNESER en 2020 pour 2021]]</f>
        <v>4.3626233145999664E-2</v>
      </c>
      <c r="N82" s="355"/>
      <c r="O82" s="353"/>
      <c r="P82" s="356"/>
      <c r="Q82" s="356"/>
      <c r="R82" s="357"/>
      <c r="S82" s="358"/>
      <c r="T82" s="359"/>
      <c r="U82" s="359"/>
      <c r="V82" s="114"/>
      <c r="W82" s="114"/>
      <c r="X82" s="114"/>
      <c r="Y82" s="114"/>
      <c r="Z82" s="114"/>
      <c r="AA82" s="114"/>
      <c r="AB82" s="114"/>
      <c r="AC82" s="114"/>
      <c r="AD82" s="114"/>
      <c r="AE82" s="114"/>
      <c r="AF82" s="114"/>
      <c r="AG82" s="114"/>
      <c r="AH82" s="114"/>
      <c r="AI82" s="114"/>
      <c r="AJ82" s="114"/>
      <c r="AK82" s="114"/>
      <c r="AL82" s="114"/>
      <c r="AM82" s="114"/>
      <c r="AN82" s="114"/>
      <c r="AO82" s="114"/>
    </row>
    <row r="83" spans="1:41" s="376" customFormat="1">
      <c r="A83" s="375"/>
      <c r="B83" s="364" t="s">
        <v>258</v>
      </c>
      <c r="C83" s="380" t="s">
        <v>271</v>
      </c>
      <c r="D83" s="381"/>
      <c r="E83" s="381"/>
      <c r="F83" s="381">
        <v>1025335</v>
      </c>
      <c r="G83" s="381">
        <v>1087003</v>
      </c>
      <c r="H83" s="382">
        <f>(Tableau58[[#This Row],[masse salariale 2022 affectée par le vote du CNESER du15/11/2021 (150 et 231) en euros]]-Tableau58[[#This Row],[masse salariale 2021 affectée par le vote du CNESER du 24/11/2020 (150 et 231) en euros]])/Tableau58[[#This Row],[masse salariale 2021 affectée par le vote du CNESER du 24/11/2020 (150 et 231) en euros]]</f>
        <v>6.0144245539262779E-2</v>
      </c>
      <c r="I83" s="383"/>
      <c r="J83" s="383">
        <v>1390522</v>
      </c>
      <c r="K83" s="383">
        <v>1472332</v>
      </c>
      <c r="L83" s="383">
        <v>1549000</v>
      </c>
      <c r="M83" s="382">
        <f>(Tableau58[[#This Row],[SCSP notifiées en CP votées par le CNESER en 2021 pour 2022]]-Tableau58[[#This Row],[SCSP notifiées en CP votées par le CNESER en 2020 pour 2021]])/Tableau58[[#This Row],[SCSP notifiées en CP votées par le CNESER en 2020 pour 2021]]</f>
        <v>5.2072494518899268E-2</v>
      </c>
      <c r="N83" s="380"/>
      <c r="O83" s="383"/>
      <c r="P83" s="380"/>
      <c r="Q83" s="380"/>
      <c r="R83" s="384"/>
      <c r="S83" s="384"/>
      <c r="T83" s="384"/>
      <c r="U83" s="384"/>
      <c r="V83" s="375"/>
      <c r="W83" s="375"/>
      <c r="X83" s="375"/>
      <c r="Y83" s="375"/>
      <c r="Z83" s="375"/>
      <c r="AA83" s="375"/>
      <c r="AB83" s="375"/>
      <c r="AC83" s="375"/>
      <c r="AD83" s="375"/>
      <c r="AE83" s="375"/>
      <c r="AF83" s="375"/>
      <c r="AG83" s="375"/>
      <c r="AH83" s="375"/>
      <c r="AI83" s="375"/>
      <c r="AJ83" s="375"/>
      <c r="AK83" s="375"/>
      <c r="AL83" s="375"/>
      <c r="AM83" s="375"/>
      <c r="AN83" s="375"/>
      <c r="AO83" s="375"/>
    </row>
    <row r="84" spans="1:41">
      <c r="A84" s="114"/>
      <c r="B84" s="313" t="s">
        <v>258</v>
      </c>
      <c r="C84" s="125" t="s">
        <v>272</v>
      </c>
      <c r="D84" s="347"/>
      <c r="E84" s="348"/>
      <c r="F84" s="349">
        <v>1293015</v>
      </c>
      <c r="G84" s="350">
        <v>1333972</v>
      </c>
      <c r="H84" s="351">
        <f>(Tableau58[[#This Row],[masse salariale 2022 affectée par le vote du CNESER du15/11/2021 (150 et 231) en euros]]-Tableau58[[#This Row],[masse salariale 2021 affectée par le vote du CNESER du 24/11/2020 (150 et 231) en euros]])/Tableau58[[#This Row],[masse salariale 2021 affectée par le vote du CNESER du 24/11/2020 (150 et 231) en euros]]</f>
        <v>3.1675579943001436E-2</v>
      </c>
      <c r="I84" s="352"/>
      <c r="J84" s="353">
        <v>1694343</v>
      </c>
      <c r="K84" s="354">
        <v>1949935</v>
      </c>
      <c r="L84" s="354">
        <v>1995892</v>
      </c>
      <c r="M84" s="351">
        <f>(Tableau58[[#This Row],[SCSP notifiées en CP votées par le CNESER en 2021 pour 2022]]-Tableau58[[#This Row],[SCSP notifiées en CP votées par le CNESER en 2020 pour 2021]])/Tableau58[[#This Row],[SCSP notifiées en CP votées par le CNESER en 2020 pour 2021]]</f>
        <v>2.3568477923623096E-2</v>
      </c>
      <c r="N84" s="355"/>
      <c r="O84" s="353"/>
      <c r="P84" s="356"/>
      <c r="Q84" s="356"/>
      <c r="R84" s="357"/>
      <c r="S84" s="358"/>
      <c r="T84" s="359"/>
      <c r="U84" s="359"/>
      <c r="V84" s="114"/>
      <c r="W84" s="114"/>
      <c r="X84" s="114"/>
      <c r="Y84" s="114"/>
      <c r="Z84" s="114"/>
      <c r="AA84" s="114"/>
      <c r="AB84" s="114"/>
      <c r="AC84" s="114"/>
      <c r="AD84" s="114"/>
      <c r="AE84" s="114"/>
      <c r="AF84" s="114"/>
      <c r="AG84" s="114"/>
      <c r="AH84" s="114"/>
      <c r="AI84" s="114"/>
      <c r="AJ84" s="114"/>
      <c r="AK84" s="114"/>
      <c r="AL84" s="114"/>
      <c r="AM84" s="114"/>
      <c r="AN84" s="114"/>
      <c r="AO84" s="114"/>
    </row>
    <row r="85" spans="1:41" s="376" customFormat="1">
      <c r="A85" s="375"/>
      <c r="B85" s="364" t="s">
        <v>258</v>
      </c>
      <c r="C85" s="380" t="s">
        <v>287</v>
      </c>
      <c r="D85" s="381"/>
      <c r="E85" s="381"/>
      <c r="F85" s="381">
        <v>1060530</v>
      </c>
      <c r="G85" s="381">
        <v>1099238</v>
      </c>
      <c r="H85" s="382">
        <f>(Tableau58[[#This Row],[masse salariale 2022 affectée par le vote du CNESER du15/11/2021 (150 et 231) en euros]]-Tableau58[[#This Row],[masse salariale 2021 affectée par le vote du CNESER du 24/11/2020 (150 et 231) en euros]])/Tableau58[[#This Row],[masse salariale 2021 affectée par le vote du CNESER du 24/11/2020 (150 et 231) en euros]]</f>
        <v>3.6498731766192373E-2</v>
      </c>
      <c r="I85" s="383"/>
      <c r="J85" s="383">
        <v>1421561</v>
      </c>
      <c r="K85" s="383">
        <v>1453228</v>
      </c>
      <c r="L85" s="383">
        <v>1456936</v>
      </c>
      <c r="M85" s="382">
        <f>(Tableau58[[#This Row],[SCSP notifiées en CP votées par le CNESER en 2021 pour 2022]]-Tableau58[[#This Row],[SCSP notifiées en CP votées par le CNESER en 2020 pour 2021]])/Tableau58[[#This Row],[SCSP notifiées en CP votées par le CNESER en 2020 pour 2021]]</f>
        <v>2.55156107644499E-3</v>
      </c>
      <c r="N85" s="380"/>
      <c r="O85" s="383"/>
      <c r="P85" s="380"/>
      <c r="Q85" s="380"/>
      <c r="R85" s="384"/>
      <c r="S85" s="384"/>
      <c r="T85" s="384"/>
      <c r="U85" s="384"/>
      <c r="V85" s="375"/>
      <c r="W85" s="375"/>
      <c r="X85" s="375"/>
      <c r="Y85" s="375"/>
      <c r="Z85" s="375"/>
      <c r="AA85" s="375"/>
      <c r="AB85" s="375"/>
      <c r="AC85" s="375"/>
      <c r="AD85" s="375"/>
      <c r="AE85" s="375"/>
      <c r="AF85" s="375"/>
      <c r="AG85" s="375"/>
      <c r="AH85" s="375"/>
      <c r="AI85" s="375"/>
      <c r="AJ85" s="375"/>
      <c r="AK85" s="375"/>
      <c r="AL85" s="375"/>
      <c r="AM85" s="375"/>
      <c r="AN85" s="375"/>
      <c r="AO85" s="375"/>
    </row>
    <row r="86" spans="1:41">
      <c r="A86" s="114"/>
      <c r="B86" s="313" t="s">
        <v>258</v>
      </c>
      <c r="C86" s="125" t="s">
        <v>290</v>
      </c>
      <c r="D86" s="347"/>
      <c r="E86" s="348"/>
      <c r="F86" s="349">
        <v>1353407</v>
      </c>
      <c r="G86" s="350">
        <v>1408148</v>
      </c>
      <c r="H86" s="351">
        <f>(Tableau58[[#This Row],[masse salariale 2022 affectée par le vote du CNESER du15/11/2021 (150 et 231) en euros]]-Tableau58[[#This Row],[masse salariale 2021 affectée par le vote du CNESER du 24/11/2020 (150 et 231) en euros]])/Tableau58[[#This Row],[masse salariale 2021 affectée par le vote du CNESER du 24/11/2020 (150 et 231) en euros]]</f>
        <v>4.0446813116822952E-2</v>
      </c>
      <c r="I86" s="352"/>
      <c r="J86" s="353">
        <v>1794555</v>
      </c>
      <c r="K86" s="354">
        <v>1817561</v>
      </c>
      <c r="L86" s="354">
        <v>1846806</v>
      </c>
      <c r="M86" s="351">
        <f>(Tableau58[[#This Row],[SCSP notifiées en CP votées par le CNESER en 2021 pour 2022]]-Tableau58[[#This Row],[SCSP notifiées en CP votées par le CNESER en 2020 pour 2021]])/Tableau58[[#This Row],[SCSP notifiées en CP votées par le CNESER en 2020 pour 2021]]</f>
        <v>1.6090244013818519E-2</v>
      </c>
      <c r="N86" s="355"/>
      <c r="O86" s="353"/>
      <c r="P86" s="356"/>
      <c r="Q86" s="356"/>
      <c r="R86" s="357"/>
      <c r="S86" s="358"/>
      <c r="T86" s="359"/>
      <c r="U86" s="359"/>
      <c r="V86" s="114"/>
      <c r="W86" s="114"/>
      <c r="X86" s="114"/>
      <c r="Y86" s="114"/>
      <c r="Z86" s="114"/>
      <c r="AA86" s="114"/>
      <c r="AB86" s="114"/>
      <c r="AC86" s="114"/>
      <c r="AD86" s="114"/>
      <c r="AE86" s="114"/>
      <c r="AF86" s="114"/>
      <c r="AG86" s="114"/>
      <c r="AH86" s="114"/>
      <c r="AI86" s="114"/>
      <c r="AJ86" s="114"/>
      <c r="AK86" s="114"/>
      <c r="AL86" s="114"/>
      <c r="AM86" s="114"/>
      <c r="AN86" s="114"/>
      <c r="AO86" s="114"/>
    </row>
    <row r="87" spans="1:41" s="376" customFormat="1">
      <c r="A87" s="375" t="s">
        <v>414</v>
      </c>
      <c r="B87" s="364" t="s">
        <v>258</v>
      </c>
      <c r="C87" s="380" t="s">
        <v>438</v>
      </c>
      <c r="D87" s="381"/>
      <c r="E87" s="381"/>
      <c r="F87" s="381">
        <v>4360529</v>
      </c>
      <c r="G87" s="381">
        <v>4697552</v>
      </c>
      <c r="H87" s="382">
        <f>(Tableau58[[#This Row],[masse salariale 2022 affectée par le vote du CNESER du15/11/2021 (150 et 231) en euros]]-Tableau58[[#This Row],[masse salariale 2021 affectée par le vote du CNESER du 24/11/2020 (150 et 231) en euros]])/Tableau58[[#This Row],[masse salariale 2021 affectée par le vote du CNESER du 24/11/2020 (150 et 231) en euros]]</f>
        <v>7.7289475657655302E-2</v>
      </c>
      <c r="I87" s="383"/>
      <c r="J87" s="383"/>
      <c r="K87" s="383">
        <v>4981648</v>
      </c>
      <c r="L87" s="383">
        <v>5318671</v>
      </c>
      <c r="M87" s="382">
        <f>(Tableau58[[#This Row],[SCSP notifiées en CP votées par le CNESER en 2021 pour 2022]]-Tableau58[[#This Row],[SCSP notifiées en CP votées par le CNESER en 2020 pour 2021]])/Tableau58[[#This Row],[SCSP notifiées en CP votées par le CNESER en 2020 pour 2021]]</f>
        <v>6.7652913252803093E-2</v>
      </c>
      <c r="N87" s="380"/>
      <c r="O87" s="383"/>
      <c r="P87" s="380"/>
      <c r="Q87" s="380"/>
      <c r="R87" s="384"/>
      <c r="S87" s="384"/>
      <c r="T87" s="384"/>
      <c r="U87" s="385"/>
      <c r="V87" s="375"/>
      <c r="W87" s="375"/>
      <c r="X87" s="375"/>
      <c r="Y87" s="375"/>
      <c r="Z87" s="375"/>
      <c r="AA87" s="375"/>
      <c r="AB87" s="375"/>
      <c r="AC87" s="375"/>
      <c r="AD87" s="375"/>
      <c r="AE87" s="375"/>
      <c r="AF87" s="375"/>
      <c r="AG87" s="375"/>
      <c r="AH87" s="375"/>
      <c r="AI87" s="375"/>
      <c r="AJ87" s="375"/>
      <c r="AK87" s="375"/>
      <c r="AL87" s="375"/>
      <c r="AM87" s="375"/>
      <c r="AN87" s="375"/>
      <c r="AO87" s="375"/>
    </row>
    <row r="88" spans="1:41">
      <c r="A88" s="114" t="s">
        <v>331</v>
      </c>
      <c r="B88" s="313" t="s">
        <v>258</v>
      </c>
      <c r="C88" s="125" t="s">
        <v>190</v>
      </c>
      <c r="D88" s="347"/>
      <c r="E88" s="348"/>
      <c r="F88" s="349">
        <v>4089471</v>
      </c>
      <c r="G88" s="350">
        <v>5069935</v>
      </c>
      <c r="H88" s="351">
        <f>(Tableau58[[#This Row],[masse salariale 2022 affectée par le vote du CNESER du15/11/2021 (150 et 231) en euros]]-Tableau58[[#This Row],[masse salariale 2021 affectée par le vote du CNESER du 24/11/2020 (150 et 231) en euros]])/Tableau58[[#This Row],[masse salariale 2021 affectée par le vote du CNESER du 24/11/2020 (150 et 231) en euros]]</f>
        <v>0.23975325904010567</v>
      </c>
      <c r="I88" s="352"/>
      <c r="J88" s="353">
        <v>7814534</v>
      </c>
      <c r="K88" s="354">
        <v>8972333</v>
      </c>
      <c r="L88" s="354">
        <v>8953727</v>
      </c>
      <c r="M88" s="351">
        <f>(Tableau58[[#This Row],[SCSP notifiées en CP votées par le CNESER en 2021 pour 2022]]-Tableau58[[#This Row],[SCSP notifiées en CP votées par le CNESER en 2020 pour 2021]])/Tableau58[[#This Row],[SCSP notifiées en CP votées par le CNESER en 2020 pour 2021]]</f>
        <v>-2.0737081425756267E-3</v>
      </c>
      <c r="N88" s="355"/>
      <c r="O88" s="353"/>
      <c r="P88" s="356"/>
      <c r="Q88" s="356"/>
      <c r="R88" s="357">
        <v>5503</v>
      </c>
      <c r="S88" s="358">
        <v>5591</v>
      </c>
      <c r="T88" s="359">
        <v>6144</v>
      </c>
      <c r="U88" s="360"/>
      <c r="V88" s="114"/>
      <c r="W88" s="114"/>
      <c r="X88" s="114"/>
      <c r="Y88" s="114"/>
      <c r="Z88" s="114"/>
      <c r="AA88" s="114"/>
      <c r="AB88" s="114"/>
      <c r="AC88" s="114"/>
      <c r="AD88" s="114"/>
      <c r="AE88" s="114"/>
      <c r="AF88" s="114"/>
      <c r="AG88" s="114"/>
      <c r="AH88" s="114"/>
      <c r="AI88" s="114"/>
      <c r="AJ88" s="114"/>
      <c r="AK88" s="114"/>
      <c r="AL88" s="114"/>
      <c r="AM88" s="114"/>
      <c r="AN88" s="114"/>
      <c r="AO88" s="114"/>
    </row>
    <row r="89" spans="1:41" s="376" customFormat="1">
      <c r="A89" s="375" t="s">
        <v>414</v>
      </c>
      <c r="B89" s="364" t="s">
        <v>258</v>
      </c>
      <c r="C89" s="380" t="s">
        <v>439</v>
      </c>
      <c r="D89" s="381"/>
      <c r="E89" s="381"/>
      <c r="F89" s="381">
        <v>1077184</v>
      </c>
      <c r="G89" s="381">
        <v>1082205</v>
      </c>
      <c r="H89" s="382">
        <f>(Tableau58[[#This Row],[masse salariale 2022 affectée par le vote du CNESER du15/11/2021 (150 et 231) en euros]]-Tableau58[[#This Row],[masse salariale 2021 affectée par le vote du CNESER du 24/11/2020 (150 et 231) en euros]])/Tableau58[[#This Row],[masse salariale 2021 affectée par le vote du CNESER du 24/11/2020 (150 et 231) en euros]]</f>
        <v>4.6612277939516366E-3</v>
      </c>
      <c r="I89" s="383"/>
      <c r="J89" s="383"/>
      <c r="K89" s="383">
        <v>5270424</v>
      </c>
      <c r="L89" s="383">
        <v>5275445</v>
      </c>
      <c r="M89" s="382">
        <f>(Tableau58[[#This Row],[SCSP notifiées en CP votées par le CNESER en 2021 pour 2022]]-Tableau58[[#This Row],[SCSP notifiées en CP votées par le CNESER en 2020 pour 2021]])/Tableau58[[#This Row],[SCSP notifiées en CP votées par le CNESER en 2020 pour 2021]]</f>
        <v>9.5267477531219501E-4</v>
      </c>
      <c r="N89" s="380"/>
      <c r="O89" s="383"/>
      <c r="P89" s="380"/>
      <c r="Q89" s="380"/>
      <c r="R89" s="384"/>
      <c r="S89" s="384"/>
      <c r="T89" s="384"/>
      <c r="U89" s="385"/>
      <c r="V89" s="375"/>
      <c r="W89" s="375"/>
      <c r="X89" s="375"/>
      <c r="Y89" s="375"/>
      <c r="Z89" s="375"/>
      <c r="AA89" s="375"/>
      <c r="AB89" s="375"/>
      <c r="AC89" s="375"/>
      <c r="AD89" s="375"/>
      <c r="AE89" s="375"/>
      <c r="AF89" s="375"/>
      <c r="AG89" s="375"/>
      <c r="AH89" s="375"/>
      <c r="AI89" s="375"/>
      <c r="AJ89" s="375"/>
      <c r="AK89" s="375"/>
      <c r="AL89" s="375"/>
      <c r="AM89" s="375"/>
      <c r="AN89" s="375"/>
      <c r="AO89" s="375"/>
    </row>
    <row r="90" spans="1:41">
      <c r="A90" s="114" t="s">
        <v>331</v>
      </c>
      <c r="B90" s="313" t="s">
        <v>258</v>
      </c>
      <c r="C90" s="125" t="s">
        <v>263</v>
      </c>
      <c r="D90" s="347"/>
      <c r="E90" s="348"/>
      <c r="F90" s="349">
        <v>2537463</v>
      </c>
      <c r="G90" s="350">
        <v>2772437</v>
      </c>
      <c r="H90" s="351">
        <f>(Tableau58[[#This Row],[masse salariale 2022 affectée par le vote du CNESER du15/11/2021 (150 et 231) en euros]]-Tableau58[[#This Row],[masse salariale 2021 affectée par le vote du CNESER du 24/11/2020 (150 et 231) en euros]])/Tableau58[[#This Row],[masse salariale 2021 affectée par le vote du CNESER du 24/11/2020 (150 et 231) en euros]]</f>
        <v>9.2601941387913833E-2</v>
      </c>
      <c r="I90" s="352"/>
      <c r="J90" s="353">
        <v>6636067</v>
      </c>
      <c r="K90" s="354">
        <v>6723487</v>
      </c>
      <c r="L90" s="354">
        <v>6952652</v>
      </c>
      <c r="M90" s="351">
        <f>(Tableau58[[#This Row],[SCSP notifiées en CP votées par le CNESER en 2021 pour 2022]]-Tableau58[[#This Row],[SCSP notifiées en CP votées par le CNESER en 2020 pour 2021]])/Tableau58[[#This Row],[SCSP notifiées en CP votées par le CNESER en 2020 pour 2021]]</f>
        <v>3.4084248247970135E-2</v>
      </c>
      <c r="N90" s="355"/>
      <c r="O90" s="353"/>
      <c r="P90" s="356"/>
      <c r="Q90" s="356"/>
      <c r="R90" s="357">
        <v>2448</v>
      </c>
      <c r="S90" s="358">
        <v>2584</v>
      </c>
      <c r="T90" s="359">
        <v>2567</v>
      </c>
      <c r="U90" s="360"/>
      <c r="V90" s="114"/>
      <c r="W90" s="114"/>
      <c r="X90" s="114"/>
      <c r="Y90" s="114"/>
      <c r="Z90" s="114"/>
      <c r="AA90" s="114"/>
      <c r="AB90" s="114"/>
      <c r="AC90" s="114"/>
      <c r="AD90" s="114"/>
      <c r="AE90" s="114"/>
      <c r="AF90" s="114"/>
      <c r="AG90" s="114"/>
      <c r="AH90" s="114"/>
      <c r="AI90" s="114"/>
      <c r="AJ90" s="114"/>
      <c r="AK90" s="114"/>
      <c r="AL90" s="114"/>
      <c r="AM90" s="114"/>
      <c r="AN90" s="114"/>
      <c r="AO90" s="114"/>
    </row>
    <row r="91" spans="1:41" s="376" customFormat="1">
      <c r="A91" s="375" t="s">
        <v>440</v>
      </c>
      <c r="B91" s="364" t="s">
        <v>258</v>
      </c>
      <c r="C91" s="380" t="s">
        <v>291</v>
      </c>
      <c r="D91" s="381"/>
      <c r="E91" s="381"/>
      <c r="F91" s="381">
        <v>104667</v>
      </c>
      <c r="G91" s="381">
        <v>143946</v>
      </c>
      <c r="H91" s="382">
        <f>(Tableau58[[#This Row],[masse salariale 2022 affectée par le vote du CNESER du15/11/2021 (150 et 231) en euros]]-Tableau58[[#This Row],[masse salariale 2021 affectée par le vote du CNESER du 24/11/2020 (150 et 231) en euros]])/Tableau58[[#This Row],[masse salariale 2021 affectée par le vote du CNESER du 24/11/2020 (150 et 231) en euros]]</f>
        <v>0.37527587491759579</v>
      </c>
      <c r="I91" s="383"/>
      <c r="J91" s="383">
        <v>410859</v>
      </c>
      <c r="K91" s="383">
        <v>512526</v>
      </c>
      <c r="L91" s="383">
        <v>551805</v>
      </c>
      <c r="M91" s="382">
        <f>(Tableau58[[#This Row],[SCSP notifiées en CP votées par le CNESER en 2021 pour 2022]]-Tableau58[[#This Row],[SCSP notifiées en CP votées par le CNESER en 2020 pour 2021]])/Tableau58[[#This Row],[SCSP notifiées en CP votées par le CNESER en 2020 pour 2021]]</f>
        <v>7.6638063239718571E-2</v>
      </c>
      <c r="N91" s="380"/>
      <c r="O91" s="386"/>
      <c r="P91" s="380"/>
      <c r="Q91" s="380"/>
      <c r="R91" s="384"/>
      <c r="S91" s="384"/>
      <c r="T91" s="384"/>
      <c r="U91" s="384"/>
      <c r="V91" s="375"/>
      <c r="W91" s="375"/>
      <c r="X91" s="375"/>
      <c r="Y91" s="375"/>
      <c r="Z91" s="375"/>
      <c r="AA91" s="375"/>
      <c r="AB91" s="375"/>
      <c r="AC91" s="375"/>
      <c r="AD91" s="375"/>
      <c r="AE91" s="375"/>
      <c r="AF91" s="375"/>
      <c r="AG91" s="375"/>
      <c r="AH91" s="375"/>
      <c r="AI91" s="375"/>
      <c r="AJ91" s="375"/>
      <c r="AK91" s="375"/>
      <c r="AL91" s="375"/>
      <c r="AM91" s="375"/>
      <c r="AN91" s="375"/>
      <c r="AO91" s="375"/>
    </row>
    <row r="92" spans="1:41">
      <c r="A92" s="114"/>
      <c r="B92" s="313" t="s">
        <v>427</v>
      </c>
      <c r="C92" s="125" t="s">
        <v>323</v>
      </c>
      <c r="D92" s="347"/>
      <c r="E92" s="348"/>
      <c r="F92" s="349">
        <v>2300000</v>
      </c>
      <c r="G92" s="350">
        <v>8399514</v>
      </c>
      <c r="H92" s="351">
        <f>(Tableau58[[#This Row],[masse salariale 2022 affectée par le vote du CNESER du15/11/2021 (150 et 231) en euros]]-Tableau58[[#This Row],[masse salariale 2021 affectée par le vote du CNESER du 24/11/2020 (150 et 231) en euros]])/Tableau58[[#This Row],[masse salariale 2021 affectée par le vote du CNESER du 24/11/2020 (150 et 231) en euros]]</f>
        <v>2.6519626086956523</v>
      </c>
      <c r="I92" s="352"/>
      <c r="J92" s="353"/>
      <c r="K92" s="354">
        <v>2800000</v>
      </c>
      <c r="L92" s="354">
        <v>9017665</v>
      </c>
      <c r="M92" s="351">
        <f>(Tableau58[[#This Row],[SCSP notifiées en CP votées par le CNESER en 2021 pour 2022]]-Tableau58[[#This Row],[SCSP notifiées en CP votées par le CNESER en 2020 pour 2021]])/Tableau58[[#This Row],[SCSP notifiées en CP votées par le CNESER en 2020 pour 2021]]</f>
        <v>2.2205946428571428</v>
      </c>
      <c r="N92" s="355"/>
      <c r="O92" s="353"/>
      <c r="P92" s="356"/>
      <c r="Q92" s="356"/>
      <c r="R92" s="357"/>
      <c r="S92" s="358"/>
      <c r="T92" s="359">
        <v>2131</v>
      </c>
      <c r="U92" s="359"/>
      <c r="V92" s="114"/>
      <c r="W92" s="114"/>
      <c r="X92" s="114"/>
      <c r="Y92" s="114"/>
      <c r="Z92" s="114"/>
      <c r="AA92" s="114"/>
      <c r="AB92" s="114"/>
      <c r="AC92" s="114"/>
      <c r="AD92" s="114"/>
      <c r="AE92" s="114"/>
      <c r="AF92" s="114"/>
      <c r="AG92" s="114"/>
      <c r="AH92" s="114"/>
      <c r="AI92" s="114"/>
      <c r="AJ92" s="114"/>
      <c r="AK92" s="114"/>
      <c r="AL92" s="114"/>
      <c r="AM92" s="114"/>
      <c r="AN92" s="114"/>
      <c r="AO92" s="114"/>
    </row>
    <row r="93" spans="1:41" s="376" customFormat="1">
      <c r="A93" s="375"/>
      <c r="B93" s="364" t="s">
        <v>427</v>
      </c>
      <c r="C93" s="380" t="s">
        <v>191</v>
      </c>
      <c r="D93" s="381"/>
      <c r="E93" s="381"/>
      <c r="F93" s="381">
        <v>8800645</v>
      </c>
      <c r="G93" s="381">
        <v>85580178</v>
      </c>
      <c r="H93" s="382">
        <f>(Tableau58[[#This Row],[masse salariale 2022 affectée par le vote du CNESER du15/11/2021 (150 et 231) en euros]]-Tableau58[[#This Row],[masse salariale 2021 affectée par le vote du CNESER du 24/11/2020 (150 et 231) en euros]])/Tableau58[[#This Row],[masse salariale 2021 affectée par le vote du CNESER du 24/11/2020 (150 et 231) en euros]]</f>
        <v>8.7243074797358595</v>
      </c>
      <c r="I93" s="383"/>
      <c r="J93" s="383">
        <v>18293427</v>
      </c>
      <c r="K93" s="383">
        <v>19318865</v>
      </c>
      <c r="L93" s="383">
        <v>95234720</v>
      </c>
      <c r="M93" s="382">
        <f>(Tableau58[[#This Row],[SCSP notifiées en CP votées par le CNESER en 2021 pour 2022]]-Tableau58[[#This Row],[SCSP notifiées en CP votées par le CNESER en 2020 pour 2021]])/Tableau58[[#This Row],[SCSP notifiées en CP votées par le CNESER en 2020 pour 2021]]</f>
        <v>3.9296229359229953</v>
      </c>
      <c r="N93" s="380"/>
      <c r="O93" s="383"/>
      <c r="P93" s="380"/>
      <c r="Q93" s="380"/>
      <c r="R93" s="384">
        <v>6208</v>
      </c>
      <c r="S93" s="384">
        <v>6224</v>
      </c>
      <c r="T93" s="384">
        <v>5958</v>
      </c>
      <c r="U93" s="385"/>
      <c r="V93" s="375"/>
      <c r="W93" s="375"/>
      <c r="X93" s="375"/>
      <c r="Y93" s="375"/>
      <c r="Z93" s="375"/>
      <c r="AA93" s="375"/>
      <c r="AB93" s="375"/>
      <c r="AC93" s="375"/>
      <c r="AD93" s="375"/>
      <c r="AE93" s="375"/>
      <c r="AF93" s="375"/>
      <c r="AG93" s="375"/>
      <c r="AH93" s="375"/>
      <c r="AI93" s="375"/>
      <c r="AJ93" s="375"/>
      <c r="AK93" s="375"/>
      <c r="AL93" s="375"/>
      <c r="AM93" s="375"/>
      <c r="AN93" s="375"/>
      <c r="AO93" s="375"/>
    </row>
    <row r="94" spans="1:41">
      <c r="A94" s="114"/>
      <c r="B94" s="313" t="s">
        <v>258</v>
      </c>
      <c r="C94" s="125" t="s">
        <v>192</v>
      </c>
      <c r="D94" s="347"/>
      <c r="E94" s="348"/>
      <c r="F94" s="349">
        <v>3962314</v>
      </c>
      <c r="G94" s="350"/>
      <c r="H94" s="351">
        <f>(Tableau58[[#This Row],[masse salariale 2022 affectée par le vote du CNESER du15/11/2021 (150 et 231) en euros]]-Tableau58[[#This Row],[masse salariale 2021 affectée par le vote du CNESER du 24/11/2020 (150 et 231) en euros]])/Tableau58[[#This Row],[masse salariale 2021 affectée par le vote du CNESER du 24/11/2020 (150 et 231) en euros]]</f>
        <v>-1</v>
      </c>
      <c r="I94" s="352"/>
      <c r="J94" s="353">
        <v>5262347</v>
      </c>
      <c r="K94" s="354">
        <v>5714759</v>
      </c>
      <c r="L94" s="354"/>
      <c r="M94" s="351">
        <f>(Tableau58[[#This Row],[SCSP notifiées en CP votées par le CNESER en 2021 pour 2022]]-Tableau58[[#This Row],[SCSP notifiées en CP votées par le CNESER en 2020 pour 2021]])/Tableau58[[#This Row],[SCSP notifiées en CP votées par le CNESER en 2020 pour 2021]]</f>
        <v>-1</v>
      </c>
      <c r="N94" s="355"/>
      <c r="O94" s="353"/>
      <c r="P94" s="356"/>
      <c r="Q94" s="356"/>
      <c r="R94" s="357">
        <v>3769</v>
      </c>
      <c r="S94" s="358">
        <v>3790</v>
      </c>
      <c r="T94" s="359">
        <v>3897</v>
      </c>
      <c r="U94" s="359"/>
      <c r="V94" s="114"/>
      <c r="W94" s="114"/>
      <c r="X94" s="114"/>
      <c r="Y94" s="114"/>
      <c r="Z94" s="114"/>
      <c r="AA94" s="114"/>
      <c r="AB94" s="114"/>
      <c r="AC94" s="114"/>
      <c r="AD94" s="114"/>
      <c r="AE94" s="114"/>
      <c r="AF94" s="114"/>
      <c r="AG94" s="114"/>
      <c r="AH94" s="114"/>
      <c r="AI94" s="114"/>
      <c r="AJ94" s="114"/>
      <c r="AK94" s="114"/>
      <c r="AL94" s="114"/>
      <c r="AM94" s="114"/>
      <c r="AN94" s="114"/>
      <c r="AO94" s="114"/>
    </row>
    <row r="95" spans="1:41" s="376" customFormat="1">
      <c r="A95" s="375" t="s">
        <v>414</v>
      </c>
      <c r="B95" s="364" t="s">
        <v>258</v>
      </c>
      <c r="C95" s="380" t="s">
        <v>441</v>
      </c>
      <c r="D95" s="381"/>
      <c r="E95" s="381"/>
      <c r="F95" s="381">
        <v>54923</v>
      </c>
      <c r="G95" s="381">
        <v>54923</v>
      </c>
      <c r="H95" s="382">
        <f>(Tableau58[[#This Row],[masse salariale 2022 affectée par le vote du CNESER du15/11/2021 (150 et 231) en euros]]-Tableau58[[#This Row],[masse salariale 2021 affectée par le vote du CNESER du 24/11/2020 (150 et 231) en euros]])/Tableau58[[#This Row],[masse salariale 2021 affectée par le vote du CNESER du 24/11/2020 (150 et 231) en euros]]</f>
        <v>0</v>
      </c>
      <c r="I95" s="383"/>
      <c r="J95" s="383"/>
      <c r="K95" s="383">
        <v>1921201</v>
      </c>
      <c r="L95" s="383">
        <v>1921201</v>
      </c>
      <c r="M95" s="382">
        <f>(Tableau58[[#This Row],[SCSP notifiées en CP votées par le CNESER en 2021 pour 2022]]-Tableau58[[#This Row],[SCSP notifiées en CP votées par le CNESER en 2020 pour 2021]])/Tableau58[[#This Row],[SCSP notifiées en CP votées par le CNESER en 2020 pour 2021]]</f>
        <v>0</v>
      </c>
      <c r="N95" s="380"/>
      <c r="O95" s="383"/>
      <c r="P95" s="380"/>
      <c r="Q95" s="380"/>
      <c r="R95" s="384">
        <v>478</v>
      </c>
      <c r="S95" s="384">
        <v>420</v>
      </c>
      <c r="T95" s="384">
        <v>451</v>
      </c>
      <c r="U95" s="385"/>
      <c r="V95" s="375"/>
      <c r="W95" s="375"/>
      <c r="X95" s="375"/>
      <c r="Y95" s="375"/>
      <c r="Z95" s="375"/>
      <c r="AA95" s="375"/>
      <c r="AB95" s="375"/>
      <c r="AC95" s="375"/>
      <c r="AD95" s="375"/>
      <c r="AE95" s="375"/>
      <c r="AF95" s="375"/>
      <c r="AG95" s="375"/>
      <c r="AH95" s="375"/>
      <c r="AI95" s="375"/>
      <c r="AJ95" s="375"/>
      <c r="AK95" s="375"/>
      <c r="AL95" s="375"/>
      <c r="AM95" s="375"/>
      <c r="AN95" s="375"/>
      <c r="AO95" s="375"/>
    </row>
    <row r="96" spans="1:41">
      <c r="A96" s="114"/>
      <c r="B96" s="313" t="s">
        <v>258</v>
      </c>
      <c r="C96" s="125" t="s">
        <v>278</v>
      </c>
      <c r="D96" s="347"/>
      <c r="E96" s="348"/>
      <c r="F96" s="349">
        <v>986344</v>
      </c>
      <c r="G96" s="350">
        <v>856784</v>
      </c>
      <c r="H96" s="351">
        <f>(Tableau58[[#This Row],[masse salariale 2022 affectée par le vote du CNESER du15/11/2021 (150 et 231) en euros]]-Tableau58[[#This Row],[masse salariale 2021 affectée par le vote du CNESER du 24/11/2020 (150 et 231) en euros]])/Tableau58[[#This Row],[masse salariale 2021 affectée par le vote du CNESER du 24/11/2020 (150 et 231) en euros]]</f>
        <v>-0.1313537670427356</v>
      </c>
      <c r="I96" s="352"/>
      <c r="J96" s="353">
        <v>3736203</v>
      </c>
      <c r="K96" s="354">
        <v>3841203</v>
      </c>
      <c r="L96" s="354">
        <v>3699895</v>
      </c>
      <c r="M96" s="351">
        <f>(Tableau58[[#This Row],[SCSP notifiées en CP votées par le CNESER en 2021 pour 2022]]-Tableau58[[#This Row],[SCSP notifiées en CP votées par le CNESER en 2020 pour 2021]])/Tableau58[[#This Row],[SCSP notifiées en CP votées par le CNESER en 2020 pour 2021]]</f>
        <v>-3.6787433520175841E-2</v>
      </c>
      <c r="N96" s="355"/>
      <c r="O96" s="353"/>
      <c r="P96" s="356"/>
      <c r="Q96" s="356"/>
      <c r="R96" s="357">
        <v>77</v>
      </c>
      <c r="S96" s="358"/>
      <c r="T96" s="359"/>
      <c r="U96" s="360"/>
      <c r="V96" s="114"/>
      <c r="W96" s="114"/>
      <c r="X96" s="114"/>
      <c r="Y96" s="114"/>
      <c r="Z96" s="114"/>
      <c r="AA96" s="114"/>
      <c r="AB96" s="114"/>
      <c r="AC96" s="114"/>
      <c r="AD96" s="114"/>
      <c r="AE96" s="114"/>
      <c r="AF96" s="114"/>
      <c r="AG96" s="114"/>
      <c r="AH96" s="114"/>
      <c r="AI96" s="114"/>
      <c r="AJ96" s="114"/>
      <c r="AK96" s="114"/>
      <c r="AL96" s="114"/>
      <c r="AM96" s="114"/>
      <c r="AN96" s="114"/>
      <c r="AO96" s="114"/>
    </row>
    <row r="97" spans="1:41" s="376" customFormat="1">
      <c r="A97" s="375"/>
      <c r="B97" s="364" t="s">
        <v>258</v>
      </c>
      <c r="C97" s="380" t="s">
        <v>193</v>
      </c>
      <c r="D97" s="381"/>
      <c r="E97" s="381"/>
      <c r="F97" s="381">
        <v>3324077</v>
      </c>
      <c r="G97" s="381">
        <v>4392463</v>
      </c>
      <c r="H97" s="382">
        <f>(Tableau58[[#This Row],[masse salariale 2022 affectée par le vote du CNESER du15/11/2021 (150 et 231) en euros]]-Tableau58[[#This Row],[masse salariale 2021 affectée par le vote du CNESER du 24/11/2020 (150 et 231) en euros]])/Tableau58[[#This Row],[masse salariale 2021 affectée par le vote du CNESER du 24/11/2020 (150 et 231) en euros]]</f>
        <v>0.32140831876036569</v>
      </c>
      <c r="I97" s="383"/>
      <c r="J97" s="383">
        <v>40192248</v>
      </c>
      <c r="K97" s="383">
        <v>40368085</v>
      </c>
      <c r="L97" s="383">
        <v>39813225</v>
      </c>
      <c r="M97" s="382">
        <f>(Tableau58[[#This Row],[SCSP notifiées en CP votées par le CNESER en 2021 pour 2022]]-Tableau58[[#This Row],[SCSP notifiées en CP votées par le CNESER en 2020 pour 2021]])/Tableau58[[#This Row],[SCSP notifiées en CP votées par le CNESER en 2020 pour 2021]]</f>
        <v>-1.3745016638763022E-2</v>
      </c>
      <c r="N97" s="380"/>
      <c r="O97" s="383"/>
      <c r="P97" s="380"/>
      <c r="Q97" s="380"/>
      <c r="R97" s="384">
        <v>427</v>
      </c>
      <c r="S97" s="384">
        <v>420</v>
      </c>
      <c r="T97" s="384">
        <v>385</v>
      </c>
      <c r="U97" s="385"/>
      <c r="V97" s="375"/>
      <c r="W97" s="375"/>
      <c r="X97" s="375"/>
      <c r="Y97" s="375"/>
      <c r="Z97" s="375"/>
      <c r="AA97" s="375"/>
      <c r="AB97" s="375"/>
      <c r="AC97" s="375"/>
      <c r="AD97" s="375"/>
      <c r="AE97" s="375"/>
      <c r="AF97" s="375"/>
      <c r="AG97" s="375"/>
      <c r="AH97" s="375"/>
      <c r="AI97" s="375"/>
      <c r="AJ97" s="375"/>
      <c r="AK97" s="375"/>
      <c r="AL97" s="375"/>
      <c r="AM97" s="375"/>
      <c r="AN97" s="375"/>
      <c r="AO97" s="375"/>
    </row>
    <row r="98" spans="1:41">
      <c r="A98" s="114"/>
      <c r="B98" s="313" t="s">
        <v>258</v>
      </c>
      <c r="C98" s="125" t="s">
        <v>276</v>
      </c>
      <c r="D98" s="347"/>
      <c r="E98" s="348"/>
      <c r="F98" s="349">
        <v>152206</v>
      </c>
      <c r="G98" s="350">
        <v>150348</v>
      </c>
      <c r="H98" s="351">
        <f>(Tableau58[[#This Row],[masse salariale 2022 affectée par le vote du CNESER du15/11/2021 (150 et 231) en euros]]-Tableau58[[#This Row],[masse salariale 2021 affectée par le vote du CNESER du 24/11/2020 (150 et 231) en euros]])/Tableau58[[#This Row],[masse salariale 2021 affectée par le vote du CNESER du 24/11/2020 (150 et 231) en euros]]</f>
        <v>-1.2207140322983326E-2</v>
      </c>
      <c r="I98" s="352"/>
      <c r="J98" s="353">
        <v>1968021</v>
      </c>
      <c r="K98" s="354">
        <v>1969688</v>
      </c>
      <c r="L98" s="354">
        <v>1937830</v>
      </c>
      <c r="M98" s="351">
        <f>(Tableau58[[#This Row],[SCSP notifiées en CP votées par le CNESER en 2021 pour 2022]]-Tableau58[[#This Row],[SCSP notifiées en CP votées par le CNESER en 2020 pour 2021]])/Tableau58[[#This Row],[SCSP notifiées en CP votées par le CNESER en 2020 pour 2021]]</f>
        <v>-1.6174135192984877E-2</v>
      </c>
      <c r="N98" s="355"/>
      <c r="O98" s="361"/>
      <c r="P98" s="356"/>
      <c r="Q98" s="356"/>
      <c r="R98" s="357"/>
      <c r="S98" s="358"/>
      <c r="T98" s="359"/>
      <c r="U98" s="359"/>
      <c r="V98" s="114"/>
      <c r="W98" s="114"/>
      <c r="X98" s="114"/>
      <c r="Y98" s="114"/>
      <c r="Z98" s="114"/>
      <c r="AA98" s="114"/>
      <c r="AB98" s="114"/>
      <c r="AC98" s="114"/>
      <c r="AD98" s="114"/>
      <c r="AE98" s="114"/>
      <c r="AF98" s="114"/>
      <c r="AG98" s="114"/>
      <c r="AH98" s="114"/>
      <c r="AI98" s="114"/>
      <c r="AJ98" s="114"/>
      <c r="AK98" s="114"/>
      <c r="AL98" s="114"/>
      <c r="AM98" s="114"/>
      <c r="AN98" s="114"/>
      <c r="AO98" s="114"/>
    </row>
    <row r="99" spans="1:41" s="376" customFormat="1">
      <c r="A99" s="375"/>
      <c r="B99" s="364" t="s">
        <v>258</v>
      </c>
      <c r="C99" s="380" t="s">
        <v>442</v>
      </c>
      <c r="D99" s="381"/>
      <c r="E99" s="381"/>
      <c r="F99" s="381">
        <v>1029270</v>
      </c>
      <c r="G99" s="381">
        <v>1110076</v>
      </c>
      <c r="H99" s="382">
        <f>(Tableau58[[#This Row],[masse salariale 2022 affectée par le vote du CNESER du15/11/2021 (150 et 231) en euros]]-Tableau58[[#This Row],[masse salariale 2021 affectée par le vote du CNESER du 24/11/2020 (150 et 231) en euros]])/Tableau58[[#This Row],[masse salariale 2021 affectée par le vote du CNESER du 24/11/2020 (150 et 231) en euros]]</f>
        <v>7.8508068825478255E-2</v>
      </c>
      <c r="I99" s="383"/>
      <c r="J99" s="383">
        <v>2060367</v>
      </c>
      <c r="K99" s="383">
        <v>2133566</v>
      </c>
      <c r="L99" s="383">
        <v>2168369</v>
      </c>
      <c r="M99" s="382">
        <f>(Tableau58[[#This Row],[SCSP notifiées en CP votées par le CNESER en 2021 pour 2022]]-Tableau58[[#This Row],[SCSP notifiées en CP votées par le CNESER en 2020 pour 2021]])/Tableau58[[#This Row],[SCSP notifiées en CP votées par le CNESER en 2020 pour 2021]]</f>
        <v>1.631212720862631E-2</v>
      </c>
      <c r="N99" s="380"/>
      <c r="O99" s="383"/>
      <c r="P99" s="380"/>
      <c r="Q99" s="380"/>
      <c r="R99" s="384">
        <v>597</v>
      </c>
      <c r="S99" s="384">
        <v>596</v>
      </c>
      <c r="T99" s="384">
        <v>623</v>
      </c>
      <c r="U99" s="384"/>
      <c r="V99" s="375"/>
      <c r="W99" s="375"/>
      <c r="X99" s="375"/>
      <c r="Y99" s="375"/>
      <c r="Z99" s="375"/>
      <c r="AA99" s="375"/>
      <c r="AB99" s="375"/>
      <c r="AC99" s="375"/>
      <c r="AD99" s="375"/>
      <c r="AE99" s="375"/>
      <c r="AF99" s="375"/>
      <c r="AG99" s="375"/>
      <c r="AH99" s="375"/>
      <c r="AI99" s="375"/>
      <c r="AJ99" s="375"/>
      <c r="AK99" s="375"/>
      <c r="AL99" s="375"/>
      <c r="AM99" s="375"/>
      <c r="AN99" s="375"/>
      <c r="AO99" s="375"/>
    </row>
    <row r="100" spans="1:41">
      <c r="A100" s="114"/>
      <c r="B100" s="313" t="s">
        <v>258</v>
      </c>
      <c r="C100" s="125" t="s">
        <v>443</v>
      </c>
      <c r="D100" s="347"/>
      <c r="E100" s="348"/>
      <c r="F100" s="349"/>
      <c r="G100" s="350"/>
      <c r="H100" s="351" t="e">
        <f>(Tableau58[[#This Row],[masse salariale 2022 affectée par le vote du CNESER du15/11/2021 (150 et 231) en euros]]-Tableau58[[#This Row],[masse salariale 2021 affectée par le vote du CNESER du 24/11/2020 (150 et 231) en euros]])/Tableau58[[#This Row],[masse salariale 2021 affectée par le vote du CNESER du 24/11/2020 (150 et 231) en euros]]</f>
        <v>#DIV/0!</v>
      </c>
      <c r="I100" s="352"/>
      <c r="J100" s="353"/>
      <c r="K100" s="354"/>
      <c r="L100" s="354"/>
      <c r="M100" s="351" t="e">
        <f>(Tableau58[[#This Row],[SCSP notifiées en CP votées par le CNESER en 2021 pour 2022]]-Tableau58[[#This Row],[SCSP notifiées en CP votées par le CNESER en 2020 pour 2021]])/Tableau58[[#This Row],[SCSP notifiées en CP votées par le CNESER en 2020 pour 2021]]</f>
        <v>#DIV/0!</v>
      </c>
      <c r="N100" s="355"/>
      <c r="O100" s="353"/>
      <c r="P100" s="356"/>
      <c r="Q100" s="356"/>
      <c r="R100" s="357">
        <v>10243</v>
      </c>
      <c r="S100" s="358">
        <v>10394</v>
      </c>
      <c r="T100" s="359">
        <v>10571</v>
      </c>
      <c r="U100" s="360"/>
      <c r="V100" s="114"/>
      <c r="W100" s="114"/>
      <c r="X100" s="114"/>
      <c r="Y100" s="114"/>
      <c r="Z100" s="114"/>
      <c r="AA100" s="114"/>
      <c r="AB100" s="114"/>
      <c r="AC100" s="114"/>
      <c r="AD100" s="114"/>
      <c r="AE100" s="114"/>
      <c r="AF100" s="114"/>
      <c r="AG100" s="114"/>
      <c r="AH100" s="114"/>
      <c r="AI100" s="114"/>
      <c r="AJ100" s="114"/>
      <c r="AK100" s="114"/>
      <c r="AL100" s="114"/>
      <c r="AM100" s="114"/>
      <c r="AN100" s="114"/>
      <c r="AO100" s="114"/>
    </row>
    <row r="101" spans="1:41" s="376" customFormat="1">
      <c r="A101" s="375"/>
      <c r="B101" s="364"/>
      <c r="C101" s="380"/>
      <c r="D101" s="381"/>
      <c r="E101" s="381"/>
      <c r="F101" s="381"/>
      <c r="G101" s="381"/>
      <c r="H101" s="382" t="e">
        <f>(Tableau58[[#This Row],[masse salariale 2022 affectée par le vote du CNESER du15/11/2021 (150 et 231) en euros]]-Tableau58[[#This Row],[masse salariale 2021 affectée par le vote du CNESER du 24/11/2020 (150 et 231) en euros]])/Tableau58[[#This Row],[masse salariale 2021 affectée par le vote du CNESER du 24/11/2020 (150 et 231) en euros]]</f>
        <v>#DIV/0!</v>
      </c>
      <c r="I101" s="383"/>
      <c r="J101" s="383"/>
      <c r="K101" s="383"/>
      <c r="L101" s="383"/>
      <c r="M101" s="382" t="e">
        <f>(Tableau58[[#This Row],[SCSP notifiées en CP votées par le CNESER en 2021 pour 2022]]-Tableau58[[#This Row],[SCSP notifiées en CP votées par le CNESER en 2020 pour 2021]])/Tableau58[[#This Row],[SCSP notifiées en CP votées par le CNESER en 2020 pour 2021]]</f>
        <v>#DIV/0!</v>
      </c>
      <c r="N101" s="380"/>
      <c r="O101" s="383"/>
      <c r="P101" s="380"/>
      <c r="Q101" s="380"/>
      <c r="R101" s="384"/>
      <c r="S101" s="384"/>
      <c r="T101" s="384"/>
      <c r="U101" s="385"/>
      <c r="V101" s="375"/>
      <c r="W101" s="375"/>
      <c r="X101" s="375"/>
      <c r="Y101" s="375"/>
      <c r="Z101" s="375"/>
      <c r="AA101" s="375"/>
      <c r="AB101" s="375"/>
      <c r="AC101" s="375"/>
      <c r="AD101" s="375"/>
      <c r="AE101" s="375"/>
      <c r="AF101" s="375"/>
      <c r="AG101" s="375"/>
      <c r="AH101" s="375"/>
      <c r="AI101" s="375"/>
      <c r="AJ101" s="375"/>
      <c r="AK101" s="375"/>
      <c r="AL101" s="375"/>
      <c r="AM101" s="375"/>
      <c r="AN101" s="375"/>
      <c r="AO101" s="375"/>
    </row>
    <row r="102" spans="1:41">
      <c r="A102" s="114"/>
      <c r="B102" s="313"/>
      <c r="C102" s="125"/>
      <c r="D102" s="347"/>
      <c r="E102" s="348"/>
      <c r="F102" s="349"/>
      <c r="G102" s="350"/>
      <c r="H102" s="351" t="e">
        <f>(Tableau58[[#This Row],[masse salariale 2022 affectée par le vote du CNESER du15/11/2021 (150 et 231) en euros]]-Tableau58[[#This Row],[masse salariale 2021 affectée par le vote du CNESER du 24/11/2020 (150 et 231) en euros]])/Tableau58[[#This Row],[masse salariale 2021 affectée par le vote du CNESER du 24/11/2020 (150 et 231) en euros]]</f>
        <v>#DIV/0!</v>
      </c>
      <c r="I102" s="352"/>
      <c r="J102" s="353"/>
      <c r="K102" s="354"/>
      <c r="L102" s="354"/>
      <c r="M102" s="351" t="e">
        <f>(Tableau58[[#This Row],[SCSP notifiées en CP votées par le CNESER en 2021 pour 2022]]-Tableau58[[#This Row],[SCSP notifiées en CP votées par le CNESER en 2020 pour 2021]])/Tableau58[[#This Row],[SCSP notifiées en CP votées par le CNESER en 2020 pour 2021]]</f>
        <v>#DIV/0!</v>
      </c>
      <c r="N102" s="355"/>
      <c r="O102" s="353"/>
      <c r="P102" s="356"/>
      <c r="Q102" s="356"/>
      <c r="R102" s="357"/>
      <c r="S102" s="358"/>
      <c r="T102" s="359"/>
      <c r="U102" s="360"/>
      <c r="V102" s="114"/>
      <c r="W102" s="114"/>
      <c r="X102" s="114"/>
      <c r="Y102" s="114"/>
      <c r="Z102" s="114"/>
      <c r="AA102" s="114"/>
      <c r="AB102" s="114"/>
      <c r="AC102" s="114"/>
      <c r="AD102" s="114"/>
      <c r="AE102" s="114"/>
      <c r="AF102" s="114"/>
      <c r="AG102" s="114"/>
      <c r="AH102" s="114"/>
      <c r="AI102" s="114"/>
      <c r="AJ102" s="114"/>
      <c r="AK102" s="114"/>
      <c r="AL102" s="114"/>
      <c r="AM102" s="114"/>
      <c r="AN102" s="114"/>
      <c r="AO102" s="114"/>
    </row>
    <row r="103" spans="1:41" s="376" customFormat="1">
      <c r="A103" s="375"/>
      <c r="B103" s="375" t="s">
        <v>61</v>
      </c>
      <c r="C103" s="380" t="s">
        <v>204</v>
      </c>
      <c r="D103" s="364"/>
      <c r="E103" s="375"/>
      <c r="F103" s="387"/>
      <c r="G103" s="375"/>
      <c r="H103" s="375"/>
      <c r="I103" s="375"/>
      <c r="J103" s="388">
        <f>SUM(J42:J102)</f>
        <v>132660923</v>
      </c>
      <c r="K103" s="388">
        <f>SUM(K42:K102)</f>
        <v>331956247</v>
      </c>
      <c r="L103" s="375"/>
      <c r="M103" s="375"/>
      <c r="N103" s="389"/>
      <c r="O103" s="375"/>
      <c r="P103" s="390">
        <f>SUM(R50:R76)</f>
        <v>5989</v>
      </c>
      <c r="Q103" s="389"/>
      <c r="R103" s="390"/>
      <c r="S103" s="375"/>
      <c r="T103" s="375"/>
      <c r="U103" s="375"/>
      <c r="V103" s="375"/>
      <c r="W103" s="375"/>
      <c r="X103" s="375"/>
      <c r="Y103" s="375"/>
      <c r="Z103" s="375"/>
      <c r="AA103" s="375"/>
      <c r="AB103" s="375"/>
      <c r="AC103" s="375"/>
      <c r="AD103" s="375"/>
      <c r="AE103" s="375"/>
      <c r="AF103" s="375"/>
      <c r="AG103" s="375"/>
      <c r="AH103" s="375"/>
      <c r="AI103" s="375"/>
      <c r="AJ103" s="375"/>
      <c r="AK103" s="375"/>
      <c r="AL103" s="375"/>
      <c r="AM103" s="375"/>
      <c r="AN103" s="375"/>
    </row>
    <row r="104" spans="1:41">
      <c r="O104" s="376"/>
      <c r="P104" s="376"/>
      <c r="Q104" s="376"/>
      <c r="R104" s="376"/>
    </row>
    <row r="105" spans="1:41">
      <c r="O105" s="376"/>
      <c r="P105" s="376"/>
      <c r="Q105" s="376"/>
      <c r="R105" s="376"/>
    </row>
    <row r="106" spans="1:41">
      <c r="O106" s="376"/>
      <c r="P106" s="376"/>
      <c r="Q106" s="376"/>
      <c r="R106" s="376"/>
    </row>
    <row r="107" spans="1:41">
      <c r="O107" s="376"/>
      <c r="P107" s="376"/>
      <c r="Q107" s="376"/>
      <c r="R107" s="376"/>
    </row>
    <row r="108" spans="1:41">
      <c r="O108" s="376"/>
      <c r="P108" s="376"/>
      <c r="Q108" s="376"/>
      <c r="R108" s="376"/>
    </row>
    <row r="109" spans="1:41">
      <c r="O109" s="376"/>
      <c r="P109" s="376"/>
      <c r="Q109" s="376"/>
      <c r="R109" s="376"/>
    </row>
    <row r="110" spans="1:41">
      <c r="O110" s="376"/>
      <c r="P110" s="376"/>
      <c r="Q110" s="376"/>
      <c r="R110" s="376"/>
    </row>
    <row r="111" spans="1:41">
      <c r="O111" s="376"/>
      <c r="P111" s="376"/>
      <c r="Q111" s="376"/>
      <c r="R111" s="376"/>
    </row>
    <row r="112" spans="1:41">
      <c r="O112" s="376"/>
      <c r="P112" s="376"/>
      <c r="Q112" s="376"/>
      <c r="R112" s="376"/>
    </row>
    <row r="113" spans="15:18">
      <c r="O113" s="376"/>
      <c r="P113" s="376"/>
      <c r="Q113" s="376"/>
      <c r="R113" s="376"/>
    </row>
    <row r="114" spans="15:18">
      <c r="O114" s="376"/>
      <c r="P114" s="376"/>
      <c r="Q114" s="376"/>
      <c r="R114" s="376"/>
    </row>
    <row r="115" spans="15:18">
      <c r="O115" s="376"/>
      <c r="P115" s="376"/>
      <c r="Q115" s="376"/>
      <c r="R115" s="376"/>
    </row>
    <row r="116" spans="15:18">
      <c r="O116" s="376"/>
      <c r="P116" s="376"/>
      <c r="Q116" s="376"/>
      <c r="R116" s="376"/>
    </row>
    <row r="117" spans="15:18">
      <c r="O117" s="376"/>
      <c r="P117" s="376"/>
      <c r="Q117" s="376"/>
      <c r="R117" s="376"/>
    </row>
    <row r="118" spans="15:18">
      <c r="O118" s="376"/>
      <c r="P118" s="376"/>
      <c r="Q118" s="376"/>
      <c r="R118" s="376"/>
    </row>
    <row r="119" spans="15:18">
      <c r="O119" s="376"/>
      <c r="P119" s="376"/>
      <c r="Q119" s="376"/>
      <c r="R119" s="376"/>
    </row>
    <row r="120" spans="15:18">
      <c r="O120" s="376"/>
      <c r="P120" s="376"/>
      <c r="Q120" s="376"/>
      <c r="R120" s="376"/>
    </row>
    <row r="121" spans="15:18">
      <c r="O121" s="376"/>
      <c r="P121" s="376"/>
      <c r="Q121" s="376"/>
      <c r="R121" s="376"/>
    </row>
    <row r="122" spans="15:18">
      <c r="O122" s="376"/>
      <c r="P122" s="376"/>
      <c r="Q122" s="376"/>
      <c r="R122" s="376"/>
    </row>
    <row r="123" spans="15:18">
      <c r="O123" s="376"/>
      <c r="P123" s="376"/>
      <c r="Q123" s="376"/>
      <c r="R123" s="376"/>
    </row>
    <row r="124" spans="15:18">
      <c r="O124" s="376"/>
      <c r="P124" s="376"/>
      <c r="Q124" s="376"/>
      <c r="R124" s="376"/>
    </row>
    <row r="125" spans="15:18">
      <c r="O125" s="376"/>
      <c r="P125" s="376"/>
      <c r="Q125" s="376"/>
      <c r="R125" s="376"/>
    </row>
    <row r="126" spans="15:18">
      <c r="O126" s="376"/>
      <c r="P126" s="376"/>
      <c r="Q126" s="376"/>
      <c r="R126" s="376"/>
    </row>
    <row r="127" spans="15:18">
      <c r="O127" s="376"/>
      <c r="P127" s="376"/>
      <c r="Q127" s="376"/>
      <c r="R127" s="376"/>
    </row>
    <row r="128" spans="15:18">
      <c r="O128" s="376"/>
      <c r="P128" s="376"/>
      <c r="Q128" s="376"/>
      <c r="R128" s="376"/>
    </row>
    <row r="129" spans="15:18">
      <c r="O129" s="376"/>
      <c r="P129" s="376"/>
      <c r="Q129" s="376"/>
      <c r="R129" s="376"/>
    </row>
    <row r="130" spans="15:18">
      <c r="O130" s="376"/>
      <c r="P130" s="376"/>
      <c r="Q130" s="376"/>
      <c r="R130" s="376"/>
    </row>
    <row r="131" spans="15:18">
      <c r="O131" s="376"/>
      <c r="P131" s="376"/>
      <c r="Q131" s="376"/>
      <c r="R131" s="376"/>
    </row>
    <row r="132" spans="15:18">
      <c r="O132" s="376"/>
      <c r="P132" s="376"/>
      <c r="Q132" s="376"/>
      <c r="R132" s="376"/>
    </row>
    <row r="133" spans="15:18">
      <c r="O133" s="376"/>
      <c r="P133" s="376"/>
      <c r="Q133" s="376"/>
      <c r="R133" s="376"/>
    </row>
    <row r="134" spans="15:18">
      <c r="O134" s="376"/>
      <c r="P134" s="376"/>
      <c r="Q134" s="376"/>
      <c r="R134" s="376"/>
    </row>
    <row r="135" spans="15:18">
      <c r="O135" s="376"/>
      <c r="P135" s="376"/>
      <c r="Q135" s="376"/>
      <c r="R135" s="376"/>
    </row>
    <row r="136" spans="15:18">
      <c r="O136" s="376"/>
      <c r="P136" s="376"/>
      <c r="Q136" s="376"/>
      <c r="R136" s="376"/>
    </row>
    <row r="137" spans="15:18">
      <c r="O137" s="376"/>
      <c r="P137" s="376"/>
      <c r="Q137" s="376"/>
      <c r="R137" s="376"/>
    </row>
    <row r="138" spans="15:18">
      <c r="O138" s="376"/>
      <c r="P138" s="376"/>
      <c r="Q138" s="376"/>
      <c r="R138" s="376"/>
    </row>
    <row r="139" spans="15:18">
      <c r="O139" s="376"/>
      <c r="P139" s="376"/>
      <c r="Q139" s="376"/>
      <c r="R139" s="376"/>
    </row>
    <row r="140" spans="15:18">
      <c r="O140" s="376"/>
      <c r="P140" s="376"/>
      <c r="Q140" s="376"/>
      <c r="R140" s="376"/>
    </row>
    <row r="141" spans="15:18">
      <c r="O141" s="376"/>
      <c r="P141" s="376"/>
      <c r="Q141" s="376"/>
      <c r="R141" s="376"/>
    </row>
    <row r="142" spans="15:18">
      <c r="O142" s="376"/>
      <c r="P142" s="376"/>
      <c r="Q142" s="376"/>
      <c r="R142" s="376"/>
    </row>
    <row r="143" spans="15:18">
      <c r="O143" s="376"/>
      <c r="P143" s="376"/>
      <c r="Q143" s="376"/>
      <c r="R143" s="376"/>
    </row>
    <row r="144" spans="15:18">
      <c r="O144" s="376"/>
      <c r="P144" s="376"/>
      <c r="Q144" s="376"/>
      <c r="R144" s="376"/>
    </row>
    <row r="145" spans="15:18">
      <c r="O145" s="376"/>
      <c r="P145" s="376"/>
      <c r="Q145" s="376"/>
      <c r="R145" s="376"/>
    </row>
    <row r="146" spans="15:18">
      <c r="O146" s="376"/>
      <c r="P146" s="376"/>
      <c r="Q146" s="376"/>
      <c r="R146" s="376"/>
    </row>
    <row r="147" spans="15:18">
      <c r="O147" s="376"/>
      <c r="P147" s="376"/>
      <c r="Q147" s="376"/>
      <c r="R147" s="376"/>
    </row>
    <row r="148" spans="15:18">
      <c r="O148" s="376"/>
      <c r="P148" s="376"/>
      <c r="Q148" s="376"/>
      <c r="R148" s="376"/>
    </row>
    <row r="149" spans="15:18">
      <c r="O149" s="376"/>
      <c r="P149" s="376"/>
      <c r="Q149" s="376"/>
      <c r="R149" s="376"/>
    </row>
    <row r="150" spans="15:18">
      <c r="O150" s="376"/>
      <c r="P150" s="376"/>
      <c r="Q150" s="376"/>
      <c r="R150" s="376"/>
    </row>
    <row r="151" spans="15:18">
      <c r="O151" s="376"/>
      <c r="P151" s="376"/>
      <c r="Q151" s="376"/>
      <c r="R151" s="376"/>
    </row>
    <row r="152" spans="15:18">
      <c r="O152" s="376"/>
      <c r="P152" s="376"/>
      <c r="Q152" s="376"/>
      <c r="R152" s="376"/>
    </row>
    <row r="153" spans="15:18">
      <c r="O153" s="376"/>
      <c r="P153" s="376"/>
      <c r="Q153" s="376"/>
      <c r="R153" s="376"/>
    </row>
    <row r="154" spans="15:18">
      <c r="O154" s="376"/>
      <c r="P154" s="376"/>
      <c r="Q154" s="376"/>
      <c r="R154" s="376"/>
    </row>
    <row r="155" spans="15:18">
      <c r="O155" s="376"/>
      <c r="P155" s="376"/>
      <c r="Q155" s="376"/>
      <c r="R155" s="376"/>
    </row>
    <row r="156" spans="15:18">
      <c r="O156" s="376"/>
      <c r="P156" s="376"/>
      <c r="Q156" s="376"/>
      <c r="R156" s="376"/>
    </row>
    <row r="157" spans="15:18">
      <c r="O157" s="376"/>
      <c r="P157" s="376"/>
      <c r="Q157" s="376"/>
      <c r="R157" s="376"/>
    </row>
    <row r="158" spans="15:18">
      <c r="O158" s="376"/>
      <c r="P158" s="376"/>
      <c r="Q158" s="376"/>
      <c r="R158" s="376"/>
    </row>
    <row r="159" spans="15:18">
      <c r="O159" s="376"/>
      <c r="P159" s="376"/>
      <c r="Q159" s="376"/>
      <c r="R159" s="376"/>
    </row>
    <row r="160" spans="15:18">
      <c r="O160" s="376"/>
      <c r="P160" s="376"/>
      <c r="Q160" s="376"/>
      <c r="R160" s="376"/>
    </row>
    <row r="161" spans="15:18">
      <c r="O161" s="376"/>
      <c r="P161" s="376"/>
      <c r="Q161" s="376"/>
      <c r="R161" s="376"/>
    </row>
    <row r="162" spans="15:18">
      <c r="O162" s="376"/>
      <c r="P162" s="376"/>
      <c r="Q162" s="376"/>
      <c r="R162" s="376"/>
    </row>
    <row r="163" spans="15:18">
      <c r="O163" s="376"/>
      <c r="P163" s="376"/>
      <c r="Q163" s="376"/>
      <c r="R163" s="376"/>
    </row>
    <row r="164" spans="15:18">
      <c r="O164" s="376"/>
      <c r="P164" s="376"/>
      <c r="Q164" s="376"/>
      <c r="R164" s="376"/>
    </row>
    <row r="165" spans="15:18">
      <c r="O165" s="376"/>
      <c r="P165" s="376"/>
      <c r="Q165" s="376"/>
      <c r="R165" s="376"/>
    </row>
    <row r="166" spans="15:18">
      <c r="O166" s="376"/>
      <c r="P166" s="376"/>
      <c r="Q166" s="376"/>
      <c r="R166" s="376"/>
    </row>
    <row r="167" spans="15:18">
      <c r="O167" s="376"/>
      <c r="P167" s="376"/>
      <c r="Q167" s="376"/>
      <c r="R167" s="376"/>
    </row>
    <row r="168" spans="15:18">
      <c r="O168" s="376"/>
      <c r="P168" s="376"/>
      <c r="Q168" s="376"/>
      <c r="R168" s="376"/>
    </row>
    <row r="169" spans="15:18">
      <c r="O169" s="376"/>
      <c r="P169" s="376"/>
      <c r="Q169" s="376"/>
      <c r="R169" s="376"/>
    </row>
    <row r="170" spans="15:18">
      <c r="O170" s="376"/>
      <c r="P170" s="376"/>
      <c r="Q170" s="376"/>
      <c r="R170" s="376"/>
    </row>
    <row r="171" spans="15:18">
      <c r="O171" s="376"/>
      <c r="P171" s="376"/>
      <c r="Q171" s="376"/>
      <c r="R171" s="376"/>
    </row>
    <row r="172" spans="15:18">
      <c r="O172" s="376"/>
      <c r="P172" s="376"/>
      <c r="Q172" s="376"/>
      <c r="R172" s="376"/>
    </row>
    <row r="173" spans="15:18">
      <c r="O173" s="376"/>
      <c r="P173" s="376"/>
      <c r="Q173" s="376"/>
      <c r="R173" s="376"/>
    </row>
    <row r="174" spans="15:18">
      <c r="O174" s="376"/>
      <c r="P174" s="376"/>
      <c r="Q174" s="376"/>
      <c r="R174" s="376"/>
    </row>
    <row r="175" spans="15:18">
      <c r="O175" s="376"/>
      <c r="P175" s="376"/>
      <c r="Q175" s="376"/>
      <c r="R175" s="376"/>
    </row>
    <row r="176" spans="15:18">
      <c r="O176" s="376"/>
      <c r="P176" s="376"/>
      <c r="Q176" s="376"/>
      <c r="R176" s="376"/>
    </row>
    <row r="177" spans="15:18">
      <c r="O177" s="376"/>
      <c r="P177" s="376"/>
      <c r="Q177" s="376"/>
      <c r="R177" s="376"/>
    </row>
    <row r="178" spans="15:18">
      <c r="O178" s="376"/>
      <c r="P178" s="376"/>
      <c r="Q178" s="376"/>
      <c r="R178" s="376"/>
    </row>
    <row r="179" spans="15:18">
      <c r="O179" s="376"/>
      <c r="P179" s="376"/>
      <c r="Q179" s="376"/>
      <c r="R179" s="376"/>
    </row>
    <row r="180" spans="15:18">
      <c r="O180" s="376"/>
      <c r="P180" s="376"/>
      <c r="Q180" s="376"/>
      <c r="R180" s="376"/>
    </row>
    <row r="181" spans="15:18">
      <c r="O181" s="376"/>
      <c r="P181" s="376"/>
      <c r="Q181" s="376"/>
      <c r="R181" s="376"/>
    </row>
    <row r="182" spans="15:18">
      <c r="O182" s="376"/>
      <c r="P182" s="376"/>
      <c r="Q182" s="376"/>
      <c r="R182" s="376"/>
    </row>
    <row r="183" spans="15:18">
      <c r="O183" s="376"/>
      <c r="P183" s="376"/>
      <c r="Q183" s="376"/>
      <c r="R183" s="376"/>
    </row>
    <row r="184" spans="15:18">
      <c r="O184" s="376"/>
      <c r="P184" s="376"/>
      <c r="Q184" s="376"/>
      <c r="R184" s="376"/>
    </row>
    <row r="185" spans="15:18">
      <c r="O185" s="376"/>
      <c r="P185" s="376"/>
      <c r="Q185" s="376"/>
      <c r="R185" s="376"/>
    </row>
    <row r="186" spans="15:18">
      <c r="O186" s="376"/>
      <c r="P186" s="376"/>
      <c r="Q186" s="376"/>
      <c r="R186" s="376"/>
    </row>
    <row r="187" spans="15:18">
      <c r="O187" s="376"/>
      <c r="P187" s="376"/>
      <c r="Q187" s="376"/>
      <c r="R187" s="376"/>
    </row>
    <row r="188" spans="15:18">
      <c r="O188" s="376"/>
      <c r="P188" s="376"/>
      <c r="Q188" s="376"/>
      <c r="R188" s="376"/>
    </row>
    <row r="189" spans="15:18">
      <c r="O189" s="376"/>
      <c r="P189" s="376"/>
      <c r="Q189" s="376"/>
      <c r="R189" s="376"/>
    </row>
    <row r="190" spans="15:18">
      <c r="O190" s="376"/>
      <c r="P190" s="376"/>
      <c r="Q190" s="376"/>
      <c r="R190" s="376"/>
    </row>
    <row r="191" spans="15:18">
      <c r="O191" s="376"/>
      <c r="P191" s="376"/>
      <c r="Q191" s="376"/>
      <c r="R191" s="376"/>
    </row>
    <row r="192" spans="15:18">
      <c r="O192" s="376"/>
      <c r="P192" s="376"/>
      <c r="Q192" s="376"/>
      <c r="R192" s="376"/>
    </row>
    <row r="193" spans="15:18">
      <c r="O193" s="376"/>
      <c r="P193" s="376"/>
      <c r="Q193" s="376"/>
      <c r="R193" s="376"/>
    </row>
    <row r="194" spans="15:18">
      <c r="O194" s="376"/>
      <c r="P194" s="376"/>
      <c r="Q194" s="376"/>
      <c r="R194" s="376"/>
    </row>
    <row r="195" spans="15:18">
      <c r="O195" s="376"/>
      <c r="P195" s="376"/>
      <c r="Q195" s="376"/>
      <c r="R195" s="376"/>
    </row>
    <row r="196" spans="15:18">
      <c r="O196" s="376"/>
      <c r="P196" s="376"/>
      <c r="Q196" s="376"/>
      <c r="R196" s="376"/>
    </row>
    <row r="197" spans="15:18">
      <c r="O197" s="376"/>
      <c r="P197" s="376"/>
      <c r="Q197" s="376"/>
      <c r="R197" s="376"/>
    </row>
    <row r="198" spans="15:18">
      <c r="O198" s="376"/>
      <c r="P198" s="376"/>
      <c r="Q198" s="376"/>
      <c r="R198" s="376"/>
    </row>
    <row r="199" spans="15:18">
      <c r="O199" s="376"/>
      <c r="P199" s="376"/>
      <c r="Q199" s="376"/>
      <c r="R199" s="376"/>
    </row>
    <row r="200" spans="15:18">
      <c r="O200" s="376"/>
      <c r="P200" s="376"/>
      <c r="Q200" s="376"/>
      <c r="R200" s="376"/>
    </row>
    <row r="201" spans="15:18">
      <c r="O201" s="376"/>
      <c r="P201" s="376"/>
      <c r="Q201" s="376"/>
      <c r="R201" s="376"/>
    </row>
    <row r="202" spans="15:18">
      <c r="O202" s="376"/>
      <c r="P202" s="376"/>
      <c r="Q202" s="376"/>
      <c r="R202" s="376"/>
    </row>
    <row r="203" spans="15:18">
      <c r="O203" s="376"/>
      <c r="P203" s="376"/>
      <c r="Q203" s="376"/>
      <c r="R203" s="376"/>
    </row>
    <row r="204" spans="15:18">
      <c r="O204" s="376"/>
      <c r="P204" s="376"/>
      <c r="Q204" s="376"/>
      <c r="R204" s="376"/>
    </row>
    <row r="205" spans="15:18">
      <c r="O205" s="376"/>
      <c r="P205" s="376"/>
      <c r="Q205" s="376"/>
      <c r="R205" s="376"/>
    </row>
    <row r="206" spans="15:18">
      <c r="O206" s="376"/>
      <c r="P206" s="376"/>
      <c r="Q206" s="376"/>
      <c r="R206" s="376"/>
    </row>
    <row r="207" spans="15:18">
      <c r="O207" s="376"/>
      <c r="P207" s="376"/>
      <c r="Q207" s="376"/>
      <c r="R207" s="376"/>
    </row>
    <row r="208" spans="15:18">
      <c r="O208" s="376"/>
      <c r="P208" s="376"/>
      <c r="Q208" s="376"/>
      <c r="R208" s="376"/>
    </row>
    <row r="209" spans="15:18">
      <c r="O209" s="376"/>
      <c r="P209" s="376"/>
      <c r="Q209" s="376"/>
      <c r="R209" s="376"/>
    </row>
    <row r="210" spans="15:18">
      <c r="O210" s="376"/>
      <c r="P210" s="376"/>
      <c r="Q210" s="376"/>
      <c r="R210" s="376"/>
    </row>
    <row r="211" spans="15:18">
      <c r="O211" s="376"/>
      <c r="P211" s="376"/>
      <c r="Q211" s="376"/>
      <c r="R211" s="376"/>
    </row>
    <row r="212" spans="15:18">
      <c r="O212" s="376"/>
      <c r="P212" s="376"/>
      <c r="Q212" s="376"/>
      <c r="R212" s="376"/>
    </row>
    <row r="213" spans="15:18">
      <c r="O213" s="376"/>
      <c r="P213" s="376"/>
      <c r="Q213" s="376"/>
      <c r="R213" s="376"/>
    </row>
    <row r="214" spans="15:18">
      <c r="O214" s="376"/>
      <c r="P214" s="376"/>
      <c r="Q214" s="376"/>
      <c r="R214" s="376"/>
    </row>
    <row r="215" spans="15:18">
      <c r="O215" s="376"/>
      <c r="P215" s="376"/>
      <c r="Q215" s="376"/>
      <c r="R215" s="376"/>
    </row>
    <row r="216" spans="15:18">
      <c r="O216" s="376"/>
      <c r="P216" s="376"/>
      <c r="Q216" s="376"/>
      <c r="R216" s="376"/>
    </row>
    <row r="217" spans="15:18">
      <c r="O217" s="376"/>
      <c r="P217" s="376"/>
      <c r="Q217" s="376"/>
      <c r="R217" s="376"/>
    </row>
    <row r="218" spans="15:18">
      <c r="O218" s="376"/>
      <c r="P218" s="376"/>
      <c r="Q218" s="376"/>
      <c r="R218" s="376"/>
    </row>
    <row r="219" spans="15:18">
      <c r="O219" s="376"/>
      <c r="P219" s="376"/>
      <c r="Q219" s="376"/>
      <c r="R219" s="376"/>
    </row>
    <row r="220" spans="15:18">
      <c r="O220" s="376"/>
      <c r="P220" s="376"/>
      <c r="Q220" s="376"/>
      <c r="R220" s="376"/>
    </row>
    <row r="221" spans="15:18">
      <c r="O221" s="376"/>
      <c r="P221" s="376"/>
      <c r="Q221" s="376"/>
      <c r="R221" s="376"/>
    </row>
    <row r="222" spans="15:18">
      <c r="O222" s="376"/>
      <c r="P222" s="376"/>
      <c r="Q222" s="376"/>
      <c r="R222" s="376"/>
    </row>
    <row r="223" spans="15:18">
      <c r="O223" s="376"/>
      <c r="P223" s="376"/>
      <c r="Q223" s="376"/>
      <c r="R223" s="376"/>
    </row>
    <row r="224" spans="15:18">
      <c r="O224" s="376"/>
      <c r="P224" s="376"/>
      <c r="Q224" s="376"/>
      <c r="R224" s="376"/>
    </row>
    <row r="225" spans="15:18">
      <c r="O225" s="376"/>
      <c r="P225" s="376"/>
      <c r="Q225" s="376"/>
      <c r="R225" s="376"/>
    </row>
    <row r="226" spans="15:18">
      <c r="O226" s="376"/>
      <c r="P226" s="376"/>
      <c r="Q226" s="376"/>
      <c r="R226" s="376"/>
    </row>
    <row r="227" spans="15:18">
      <c r="O227" s="376"/>
      <c r="P227" s="376"/>
      <c r="Q227" s="376"/>
      <c r="R227" s="376"/>
    </row>
    <row r="228" spans="15:18">
      <c r="O228" s="376"/>
      <c r="P228" s="376"/>
      <c r="Q228" s="376"/>
      <c r="R228" s="376"/>
    </row>
    <row r="229" spans="15:18">
      <c r="O229" s="376"/>
      <c r="P229" s="376"/>
      <c r="Q229" s="376"/>
      <c r="R229" s="376"/>
    </row>
    <row r="230" spans="15:18">
      <c r="O230" s="376"/>
      <c r="P230" s="376"/>
      <c r="Q230" s="376"/>
      <c r="R230" s="376"/>
    </row>
    <row r="231" spans="15:18">
      <c r="O231" s="376"/>
      <c r="P231" s="376"/>
      <c r="Q231" s="376"/>
      <c r="R231" s="376"/>
    </row>
    <row r="232" spans="15:18">
      <c r="O232" s="376"/>
      <c r="P232" s="376"/>
      <c r="Q232" s="376"/>
      <c r="R232" s="376"/>
    </row>
    <row r="233" spans="15:18">
      <c r="O233" s="376"/>
      <c r="P233" s="376"/>
      <c r="Q233" s="376"/>
      <c r="R233" s="376"/>
    </row>
    <row r="234" spans="15:18">
      <c r="O234" s="376"/>
      <c r="P234" s="376"/>
      <c r="Q234" s="376"/>
      <c r="R234" s="376"/>
    </row>
    <row r="235" spans="15:18">
      <c r="O235" s="376"/>
      <c r="P235" s="376"/>
      <c r="Q235" s="376"/>
      <c r="R235" s="376"/>
    </row>
    <row r="236" spans="15:18">
      <c r="O236" s="376"/>
      <c r="P236" s="376"/>
      <c r="Q236" s="376"/>
      <c r="R236" s="376"/>
    </row>
    <row r="237" spans="15:18">
      <c r="O237" s="376"/>
      <c r="P237" s="376"/>
      <c r="Q237" s="376"/>
      <c r="R237" s="376"/>
    </row>
    <row r="238" spans="15:18">
      <c r="O238" s="376"/>
      <c r="P238" s="376"/>
      <c r="Q238" s="376"/>
      <c r="R238" s="376"/>
    </row>
    <row r="239" spans="15:18">
      <c r="O239" s="376"/>
      <c r="P239" s="376"/>
      <c r="Q239" s="376"/>
      <c r="R239" s="376"/>
    </row>
    <row r="240" spans="15:18">
      <c r="O240" s="376"/>
      <c r="P240" s="376"/>
      <c r="Q240" s="376"/>
      <c r="R240" s="376"/>
    </row>
    <row r="241" spans="15:18">
      <c r="O241" s="376"/>
      <c r="P241" s="376"/>
      <c r="Q241" s="376"/>
      <c r="R241" s="376"/>
    </row>
    <row r="242" spans="15:18">
      <c r="O242" s="376"/>
      <c r="P242" s="376"/>
      <c r="Q242" s="376"/>
      <c r="R242" s="376"/>
    </row>
    <row r="243" spans="15:18">
      <c r="O243" s="376"/>
      <c r="P243" s="376"/>
      <c r="Q243" s="376"/>
      <c r="R243" s="376"/>
    </row>
    <row r="244" spans="15:18">
      <c r="O244" s="376"/>
      <c r="P244" s="376"/>
      <c r="Q244" s="376"/>
      <c r="R244" s="376"/>
    </row>
    <row r="245" spans="15:18">
      <c r="O245" s="376"/>
      <c r="P245" s="376"/>
      <c r="Q245" s="376"/>
      <c r="R245" s="376"/>
    </row>
    <row r="246" spans="15:18">
      <c r="O246" s="376"/>
      <c r="P246" s="376"/>
      <c r="Q246" s="376"/>
      <c r="R246" s="376"/>
    </row>
    <row r="247" spans="15:18">
      <c r="O247" s="376"/>
      <c r="P247" s="376"/>
      <c r="Q247" s="376"/>
      <c r="R247" s="376"/>
    </row>
    <row r="248" spans="15:18">
      <c r="O248" s="376"/>
      <c r="P248" s="376"/>
      <c r="Q248" s="376"/>
      <c r="R248" s="376"/>
    </row>
    <row r="249" spans="15:18">
      <c r="O249" s="376"/>
      <c r="P249" s="376"/>
      <c r="Q249" s="376"/>
      <c r="R249" s="376"/>
    </row>
    <row r="250" spans="15:18">
      <c r="O250" s="376"/>
      <c r="P250" s="376"/>
      <c r="Q250" s="376"/>
      <c r="R250" s="376"/>
    </row>
    <row r="251" spans="15:18">
      <c r="O251" s="376"/>
      <c r="P251" s="376"/>
      <c r="Q251" s="376"/>
      <c r="R251" s="376"/>
    </row>
    <row r="252" spans="15:18">
      <c r="O252" s="376"/>
      <c r="P252" s="376"/>
      <c r="Q252" s="376"/>
      <c r="R252" s="376"/>
    </row>
    <row r="253" spans="15:18">
      <c r="O253" s="376"/>
      <c r="P253" s="376"/>
      <c r="Q253" s="376"/>
      <c r="R253" s="376"/>
    </row>
    <row r="254" spans="15:18">
      <c r="O254" s="376"/>
      <c r="P254" s="376"/>
      <c r="Q254" s="376"/>
      <c r="R254" s="376"/>
    </row>
    <row r="255" spans="15:18">
      <c r="O255" s="376"/>
      <c r="P255" s="376"/>
      <c r="Q255" s="376"/>
      <c r="R255" s="376"/>
    </row>
    <row r="256" spans="15:18">
      <c r="O256" s="376"/>
      <c r="P256" s="376"/>
      <c r="Q256" s="376"/>
      <c r="R256" s="376"/>
    </row>
    <row r="257" spans="15:18">
      <c r="O257" s="376"/>
      <c r="P257" s="376"/>
      <c r="Q257" s="376"/>
      <c r="R257" s="376"/>
    </row>
    <row r="258" spans="15:18">
      <c r="O258" s="376"/>
      <c r="P258" s="376"/>
      <c r="Q258" s="376"/>
      <c r="R258" s="376"/>
    </row>
    <row r="259" spans="15:18">
      <c r="O259" s="376"/>
      <c r="P259" s="376"/>
      <c r="Q259" s="376"/>
      <c r="R259" s="376"/>
    </row>
    <row r="260" spans="15:18">
      <c r="O260" s="376"/>
      <c r="P260" s="376"/>
      <c r="Q260" s="376"/>
      <c r="R260" s="376"/>
    </row>
    <row r="261" spans="15:18">
      <c r="O261" s="376"/>
      <c r="P261" s="376"/>
      <c r="Q261" s="376"/>
      <c r="R261" s="376"/>
    </row>
    <row r="262" spans="15:18">
      <c r="O262" s="376"/>
      <c r="P262" s="376"/>
      <c r="Q262" s="376"/>
      <c r="R262" s="376"/>
    </row>
    <row r="263" spans="15:18">
      <c r="O263" s="376"/>
      <c r="P263" s="376"/>
      <c r="Q263" s="376"/>
      <c r="R263" s="376"/>
    </row>
    <row r="264" spans="15:18">
      <c r="O264" s="376"/>
      <c r="P264" s="376"/>
      <c r="Q264" s="376"/>
      <c r="R264" s="376"/>
    </row>
    <row r="265" spans="15:18">
      <c r="O265" s="376"/>
      <c r="P265" s="376"/>
      <c r="Q265" s="376"/>
      <c r="R265" s="376"/>
    </row>
    <row r="266" spans="15:18">
      <c r="O266" s="376"/>
      <c r="P266" s="376"/>
      <c r="Q266" s="376"/>
      <c r="R266" s="376"/>
    </row>
    <row r="267" spans="15:18">
      <c r="O267" s="376"/>
      <c r="P267" s="376"/>
      <c r="Q267" s="376"/>
      <c r="R267" s="376"/>
    </row>
    <row r="268" spans="15:18">
      <c r="O268" s="376"/>
      <c r="P268" s="376"/>
      <c r="Q268" s="376"/>
      <c r="R268" s="376"/>
    </row>
    <row r="269" spans="15:18">
      <c r="O269" s="376"/>
      <c r="P269" s="376"/>
      <c r="Q269" s="376"/>
      <c r="R269" s="376"/>
    </row>
    <row r="270" spans="15:18">
      <c r="O270" s="376"/>
      <c r="P270" s="376"/>
      <c r="Q270" s="376"/>
      <c r="R270" s="376"/>
    </row>
    <row r="271" spans="15:18">
      <c r="O271" s="376"/>
      <c r="P271" s="376"/>
      <c r="Q271" s="376"/>
      <c r="R271" s="376"/>
    </row>
    <row r="272" spans="15:18">
      <c r="O272" s="376"/>
      <c r="P272" s="376"/>
      <c r="Q272" s="376"/>
      <c r="R272" s="376"/>
    </row>
    <row r="273" spans="15:18">
      <c r="O273" s="376"/>
      <c r="P273" s="376"/>
      <c r="Q273" s="376"/>
      <c r="R273" s="376"/>
    </row>
    <row r="274" spans="15:18">
      <c r="O274" s="376"/>
      <c r="P274" s="376"/>
      <c r="Q274" s="376"/>
      <c r="R274" s="376"/>
    </row>
    <row r="275" spans="15:18">
      <c r="O275" s="376"/>
      <c r="P275" s="376"/>
      <c r="Q275" s="376"/>
      <c r="R275" s="376"/>
    </row>
    <row r="276" spans="15:18">
      <c r="O276" s="376"/>
      <c r="P276" s="376"/>
      <c r="Q276" s="376"/>
      <c r="R276" s="376"/>
    </row>
    <row r="277" spans="15:18">
      <c r="O277" s="376"/>
      <c r="P277" s="376"/>
      <c r="Q277" s="376"/>
      <c r="R277" s="376"/>
    </row>
    <row r="278" spans="15:18">
      <c r="O278" s="376"/>
      <c r="P278" s="376"/>
      <c r="Q278" s="376"/>
      <c r="R278" s="376"/>
    </row>
    <row r="279" spans="15:18">
      <c r="O279" s="376"/>
      <c r="P279" s="376"/>
      <c r="Q279" s="376"/>
      <c r="R279" s="376"/>
    </row>
    <row r="280" spans="15:18">
      <c r="O280" s="376"/>
      <c r="P280" s="376"/>
      <c r="Q280" s="376"/>
      <c r="R280" s="376"/>
    </row>
    <row r="281" spans="15:18">
      <c r="O281" s="376"/>
      <c r="P281" s="376"/>
      <c r="Q281" s="376"/>
      <c r="R281" s="376"/>
    </row>
    <row r="282" spans="15:18">
      <c r="O282" s="376"/>
      <c r="P282" s="376"/>
      <c r="Q282" s="376"/>
      <c r="R282" s="376"/>
    </row>
    <row r="283" spans="15:18">
      <c r="O283" s="376"/>
      <c r="P283" s="376"/>
      <c r="Q283" s="376"/>
      <c r="R283" s="376"/>
    </row>
    <row r="284" spans="15:18">
      <c r="O284" s="376"/>
      <c r="P284" s="376"/>
      <c r="Q284" s="376"/>
      <c r="R284" s="376"/>
    </row>
    <row r="285" spans="15:18">
      <c r="O285" s="376"/>
      <c r="P285" s="376"/>
      <c r="Q285" s="376"/>
      <c r="R285" s="376"/>
    </row>
    <row r="286" spans="15:18">
      <c r="O286" s="376"/>
      <c r="P286" s="376"/>
      <c r="Q286" s="376"/>
      <c r="R286" s="376"/>
    </row>
    <row r="287" spans="15:18">
      <c r="O287" s="376"/>
      <c r="P287" s="376"/>
      <c r="Q287" s="376"/>
      <c r="R287" s="376"/>
    </row>
    <row r="288" spans="15:18">
      <c r="O288" s="376"/>
      <c r="P288" s="376"/>
      <c r="Q288" s="376"/>
      <c r="R288" s="376"/>
    </row>
    <row r="289" spans="15:18">
      <c r="O289" s="376"/>
      <c r="P289" s="376"/>
      <c r="Q289" s="376"/>
      <c r="R289" s="376"/>
    </row>
    <row r="290" spans="15:18">
      <c r="O290" s="376"/>
      <c r="P290" s="376"/>
      <c r="Q290" s="376"/>
      <c r="R290" s="376"/>
    </row>
    <row r="291" spans="15:18">
      <c r="O291" s="376"/>
      <c r="P291" s="376"/>
      <c r="Q291" s="376"/>
      <c r="R291" s="376"/>
    </row>
    <row r="292" spans="15:18">
      <c r="O292" s="376"/>
      <c r="P292" s="376"/>
      <c r="Q292" s="376"/>
      <c r="R292" s="376"/>
    </row>
    <row r="293" spans="15:18">
      <c r="O293" s="376"/>
      <c r="P293" s="376"/>
      <c r="Q293" s="376"/>
      <c r="R293" s="376"/>
    </row>
    <row r="294" spans="15:18">
      <c r="O294" s="376"/>
      <c r="P294" s="376"/>
      <c r="Q294" s="376"/>
      <c r="R294" s="376"/>
    </row>
    <row r="295" spans="15:18">
      <c r="O295" s="376"/>
      <c r="P295" s="376"/>
      <c r="Q295" s="376"/>
      <c r="R295" s="376"/>
    </row>
    <row r="296" spans="15:18">
      <c r="O296" s="376"/>
      <c r="P296" s="376"/>
      <c r="Q296" s="376"/>
      <c r="R296" s="376"/>
    </row>
    <row r="297" spans="15:18">
      <c r="O297" s="376"/>
      <c r="P297" s="376"/>
      <c r="Q297" s="376"/>
      <c r="R297" s="376"/>
    </row>
    <row r="298" spans="15:18">
      <c r="O298" s="376"/>
      <c r="P298" s="376"/>
      <c r="Q298" s="376"/>
      <c r="R298" s="376"/>
    </row>
    <row r="299" spans="15:18">
      <c r="O299" s="376"/>
      <c r="P299" s="376"/>
      <c r="Q299" s="376"/>
      <c r="R299" s="376"/>
    </row>
    <row r="300" spans="15:18">
      <c r="O300" s="376"/>
      <c r="P300" s="376"/>
      <c r="Q300" s="376"/>
      <c r="R300" s="376"/>
    </row>
    <row r="301" spans="15:18">
      <c r="O301" s="376"/>
      <c r="P301" s="376"/>
      <c r="Q301" s="376"/>
      <c r="R301" s="376"/>
    </row>
    <row r="302" spans="15:18">
      <c r="O302" s="376"/>
      <c r="P302" s="376"/>
      <c r="Q302" s="376"/>
      <c r="R302" s="376"/>
    </row>
    <row r="303" spans="15:18">
      <c r="O303" s="376"/>
      <c r="P303" s="376"/>
      <c r="Q303" s="376"/>
      <c r="R303" s="376"/>
    </row>
    <row r="304" spans="15:18">
      <c r="O304" s="376"/>
      <c r="P304" s="376"/>
      <c r="Q304" s="376"/>
      <c r="R304" s="376"/>
    </row>
    <row r="305" spans="15:18">
      <c r="O305" s="376"/>
      <c r="P305" s="376"/>
      <c r="Q305" s="376"/>
      <c r="R305" s="376"/>
    </row>
    <row r="306" spans="15:18">
      <c r="O306" s="376"/>
      <c r="P306" s="376"/>
      <c r="Q306" s="376"/>
      <c r="R306" s="376"/>
    </row>
    <row r="307" spans="15:18">
      <c r="O307" s="376"/>
      <c r="P307" s="376"/>
      <c r="Q307" s="376"/>
      <c r="R307" s="376"/>
    </row>
    <row r="308" spans="15:18">
      <c r="O308" s="376"/>
      <c r="P308" s="376"/>
      <c r="Q308" s="376"/>
      <c r="R308" s="376"/>
    </row>
    <row r="309" spans="15:18">
      <c r="O309" s="376"/>
      <c r="P309" s="376"/>
      <c r="Q309" s="376"/>
      <c r="R309" s="376"/>
    </row>
    <row r="310" spans="15:18">
      <c r="O310" s="376"/>
      <c r="P310" s="376"/>
      <c r="Q310" s="376"/>
      <c r="R310" s="376"/>
    </row>
    <row r="311" spans="15:18">
      <c r="O311" s="376"/>
      <c r="P311" s="376"/>
      <c r="Q311" s="376"/>
      <c r="R311" s="376"/>
    </row>
    <row r="312" spans="15:18">
      <c r="O312" s="376"/>
      <c r="P312" s="376"/>
      <c r="Q312" s="376"/>
      <c r="R312" s="376"/>
    </row>
    <row r="313" spans="15:18">
      <c r="O313" s="376"/>
      <c r="P313" s="376"/>
      <c r="Q313" s="376"/>
      <c r="R313" s="376"/>
    </row>
    <row r="314" spans="15:18">
      <c r="O314" s="376"/>
      <c r="P314" s="376"/>
      <c r="Q314" s="376"/>
      <c r="R314" s="376"/>
    </row>
    <row r="315" spans="15:18">
      <c r="O315" s="376"/>
      <c r="P315" s="376"/>
      <c r="Q315" s="376"/>
      <c r="R315" s="376"/>
    </row>
    <row r="316" spans="15:18">
      <c r="O316" s="376"/>
      <c r="P316" s="376"/>
      <c r="Q316" s="376"/>
      <c r="R316" s="376"/>
    </row>
    <row r="317" spans="15:18">
      <c r="O317" s="376"/>
      <c r="P317" s="376"/>
      <c r="Q317" s="376"/>
      <c r="R317" s="376"/>
    </row>
    <row r="318" spans="15:18">
      <c r="O318" s="376"/>
      <c r="P318" s="376"/>
      <c r="Q318" s="376"/>
      <c r="R318" s="376"/>
    </row>
    <row r="319" spans="15:18">
      <c r="O319" s="376"/>
      <c r="P319" s="376"/>
      <c r="Q319" s="376"/>
      <c r="R319" s="376"/>
    </row>
    <row r="320" spans="15:18">
      <c r="O320" s="376"/>
      <c r="P320" s="376"/>
      <c r="Q320" s="376"/>
      <c r="R320" s="376"/>
    </row>
    <row r="321" spans="15:18">
      <c r="O321" s="376"/>
      <c r="P321" s="376"/>
      <c r="Q321" s="376"/>
      <c r="R321" s="376"/>
    </row>
    <row r="322" spans="15:18">
      <c r="O322" s="376"/>
      <c r="P322" s="376"/>
      <c r="Q322" s="376"/>
      <c r="R322" s="376"/>
    </row>
    <row r="323" spans="15:18">
      <c r="O323" s="376"/>
      <c r="P323" s="376"/>
      <c r="Q323" s="376"/>
      <c r="R323" s="376"/>
    </row>
    <row r="324" spans="15:18">
      <c r="O324" s="376"/>
      <c r="P324" s="376"/>
      <c r="Q324" s="376"/>
      <c r="R324" s="376"/>
    </row>
    <row r="325" spans="15:18">
      <c r="O325" s="376"/>
      <c r="P325" s="376"/>
      <c r="Q325" s="376"/>
      <c r="R325" s="376"/>
    </row>
    <row r="326" spans="15:18">
      <c r="O326" s="376"/>
      <c r="P326" s="376"/>
      <c r="Q326" s="376"/>
      <c r="R326" s="376"/>
    </row>
    <row r="327" spans="15:18">
      <c r="O327" s="376"/>
      <c r="P327" s="376"/>
      <c r="Q327" s="376"/>
      <c r="R327" s="376"/>
    </row>
    <row r="328" spans="15:18">
      <c r="O328" s="376"/>
      <c r="P328" s="376"/>
      <c r="Q328" s="376"/>
      <c r="R328" s="376"/>
    </row>
    <row r="329" spans="15:18">
      <c r="O329" s="376"/>
      <c r="P329" s="376"/>
      <c r="Q329" s="376"/>
      <c r="R329" s="376"/>
    </row>
    <row r="330" spans="15:18">
      <c r="O330" s="376"/>
      <c r="P330" s="376"/>
      <c r="Q330" s="376"/>
      <c r="R330" s="376"/>
    </row>
    <row r="331" spans="15:18">
      <c r="O331" s="376"/>
      <c r="P331" s="376"/>
      <c r="Q331" s="376"/>
      <c r="R331" s="376"/>
    </row>
    <row r="332" spans="15:18">
      <c r="O332" s="376"/>
      <c r="P332" s="376"/>
      <c r="Q332" s="376"/>
      <c r="R332" s="376"/>
    </row>
    <row r="333" spans="15:18">
      <c r="O333" s="376"/>
      <c r="P333" s="376"/>
      <c r="Q333" s="376"/>
      <c r="R333" s="376"/>
    </row>
    <row r="334" spans="15:18">
      <c r="O334" s="376"/>
      <c r="P334" s="376"/>
      <c r="Q334" s="376"/>
      <c r="R334" s="376"/>
    </row>
    <row r="335" spans="15:18">
      <c r="O335" s="376"/>
      <c r="P335" s="376"/>
      <c r="Q335" s="376"/>
      <c r="R335" s="376"/>
    </row>
    <row r="336" spans="15:18">
      <c r="O336" s="376"/>
      <c r="P336" s="376"/>
      <c r="Q336" s="376"/>
      <c r="R336" s="376"/>
    </row>
    <row r="337" spans="15:18">
      <c r="O337" s="376"/>
      <c r="P337" s="376"/>
      <c r="Q337" s="376"/>
      <c r="R337" s="376"/>
    </row>
    <row r="338" spans="15:18">
      <c r="O338" s="376"/>
      <c r="P338" s="376"/>
      <c r="Q338" s="376"/>
      <c r="R338" s="376"/>
    </row>
    <row r="339" spans="15:18">
      <c r="O339" s="376"/>
      <c r="P339" s="376"/>
      <c r="Q339" s="376"/>
      <c r="R339" s="376"/>
    </row>
    <row r="340" spans="15:18">
      <c r="O340" s="376"/>
      <c r="P340" s="376"/>
      <c r="Q340" s="376"/>
      <c r="R340" s="376"/>
    </row>
    <row r="341" spans="15:18">
      <c r="O341" s="376"/>
      <c r="P341" s="376"/>
      <c r="Q341" s="376"/>
      <c r="R341" s="376"/>
    </row>
    <row r="342" spans="15:18">
      <c r="O342" s="376"/>
      <c r="P342" s="376"/>
      <c r="Q342" s="376"/>
      <c r="R342" s="376"/>
    </row>
    <row r="343" spans="15:18">
      <c r="O343" s="376"/>
      <c r="P343" s="376"/>
      <c r="Q343" s="376"/>
      <c r="R343" s="376"/>
    </row>
    <row r="344" spans="15:18">
      <c r="O344" s="376"/>
      <c r="P344" s="376"/>
      <c r="Q344" s="376"/>
      <c r="R344" s="376"/>
    </row>
    <row r="345" spans="15:18">
      <c r="O345" s="376"/>
      <c r="P345" s="376"/>
      <c r="Q345" s="376"/>
      <c r="R345" s="376"/>
    </row>
    <row r="346" spans="15:18">
      <c r="O346" s="376"/>
      <c r="P346" s="376"/>
      <c r="Q346" s="376"/>
      <c r="R346" s="376"/>
    </row>
    <row r="347" spans="15:18">
      <c r="O347" s="376"/>
      <c r="P347" s="376"/>
      <c r="Q347" s="376"/>
      <c r="R347" s="376"/>
    </row>
    <row r="348" spans="15:18">
      <c r="O348" s="376"/>
      <c r="P348" s="376"/>
      <c r="Q348" s="376"/>
      <c r="R348" s="376"/>
    </row>
    <row r="349" spans="15:18">
      <c r="O349" s="376"/>
      <c r="P349" s="376"/>
      <c r="Q349" s="376"/>
      <c r="R349" s="376"/>
    </row>
    <row r="350" spans="15:18">
      <c r="O350" s="376"/>
      <c r="P350" s="376"/>
      <c r="Q350" s="376"/>
      <c r="R350" s="376"/>
    </row>
    <row r="351" spans="15:18">
      <c r="O351" s="376"/>
      <c r="P351" s="376"/>
      <c r="Q351" s="376"/>
      <c r="R351" s="376"/>
    </row>
    <row r="352" spans="15:18">
      <c r="O352" s="376"/>
      <c r="P352" s="376"/>
      <c r="Q352" s="376"/>
      <c r="R352" s="376"/>
    </row>
    <row r="353" spans="15:18">
      <c r="O353" s="376"/>
      <c r="P353" s="376"/>
      <c r="Q353" s="376"/>
      <c r="R353" s="376"/>
    </row>
    <row r="354" spans="15:18">
      <c r="O354" s="376"/>
      <c r="P354" s="376"/>
      <c r="Q354" s="376"/>
      <c r="R354" s="376"/>
    </row>
    <row r="355" spans="15:18">
      <c r="O355" s="376"/>
      <c r="P355" s="376"/>
      <c r="Q355" s="376"/>
      <c r="R355" s="376"/>
    </row>
    <row r="356" spans="15:18">
      <c r="O356" s="376"/>
      <c r="P356" s="376"/>
      <c r="Q356" s="376"/>
      <c r="R356" s="376"/>
    </row>
    <row r="357" spans="15:18">
      <c r="O357" s="376"/>
      <c r="P357" s="376"/>
      <c r="Q357" s="376"/>
      <c r="R357" s="376"/>
    </row>
    <row r="358" spans="15:18">
      <c r="O358" s="376"/>
      <c r="P358" s="376"/>
      <c r="Q358" s="376"/>
      <c r="R358" s="376"/>
    </row>
    <row r="359" spans="15:18">
      <c r="O359" s="376"/>
      <c r="P359" s="376"/>
      <c r="Q359" s="376"/>
      <c r="R359" s="376"/>
    </row>
    <row r="360" spans="15:18">
      <c r="O360" s="376"/>
      <c r="P360" s="376"/>
      <c r="Q360" s="376"/>
      <c r="R360" s="376"/>
    </row>
    <row r="361" spans="15:18">
      <c r="O361" s="376"/>
      <c r="P361" s="376"/>
      <c r="Q361" s="376"/>
      <c r="R361" s="376"/>
    </row>
    <row r="362" spans="15:18">
      <c r="O362" s="376"/>
      <c r="P362" s="376"/>
      <c r="Q362" s="376"/>
      <c r="R362" s="376"/>
    </row>
    <row r="363" spans="15:18">
      <c r="O363" s="376"/>
      <c r="P363" s="376"/>
      <c r="Q363" s="376"/>
      <c r="R363" s="376"/>
    </row>
    <row r="364" spans="15:18">
      <c r="O364" s="376"/>
      <c r="P364" s="376"/>
      <c r="Q364" s="376"/>
      <c r="R364" s="376"/>
    </row>
    <row r="365" spans="15:18">
      <c r="O365" s="376"/>
      <c r="P365" s="376"/>
      <c r="Q365" s="376"/>
      <c r="R365" s="376"/>
    </row>
    <row r="366" spans="15:18">
      <c r="O366" s="376"/>
      <c r="P366" s="376"/>
      <c r="Q366" s="376"/>
      <c r="R366" s="376"/>
    </row>
    <row r="367" spans="15:18">
      <c r="O367" s="376"/>
      <c r="P367" s="376"/>
      <c r="Q367" s="376"/>
      <c r="R367" s="376"/>
    </row>
    <row r="368" spans="15:18">
      <c r="O368" s="376"/>
      <c r="P368" s="376"/>
      <c r="Q368" s="376"/>
      <c r="R368" s="376"/>
    </row>
    <row r="369" spans="15:18">
      <c r="O369" s="376"/>
      <c r="P369" s="376"/>
      <c r="Q369" s="376"/>
      <c r="R369" s="376"/>
    </row>
    <row r="370" spans="15:18">
      <c r="O370" s="376"/>
      <c r="P370" s="376"/>
      <c r="Q370" s="376"/>
      <c r="R370" s="376"/>
    </row>
    <row r="371" spans="15:18">
      <c r="O371" s="376"/>
      <c r="P371" s="376"/>
      <c r="Q371" s="376"/>
      <c r="R371" s="376"/>
    </row>
    <row r="372" spans="15:18">
      <c r="O372" s="376"/>
      <c r="P372" s="376"/>
      <c r="Q372" s="376"/>
      <c r="R372" s="376"/>
    </row>
    <row r="373" spans="15:18">
      <c r="O373" s="376"/>
      <c r="P373" s="376"/>
      <c r="Q373" s="376"/>
      <c r="R373" s="376"/>
    </row>
    <row r="374" spans="15:18">
      <c r="O374" s="376"/>
      <c r="P374" s="376"/>
      <c r="Q374" s="376"/>
      <c r="R374" s="376"/>
    </row>
    <row r="375" spans="15:18">
      <c r="O375" s="376"/>
      <c r="P375" s="376"/>
      <c r="Q375" s="376"/>
      <c r="R375" s="376"/>
    </row>
    <row r="376" spans="15:18">
      <c r="O376" s="376"/>
      <c r="P376" s="376"/>
      <c r="Q376" s="376"/>
      <c r="R376" s="376"/>
    </row>
    <row r="377" spans="15:18">
      <c r="O377" s="376"/>
      <c r="P377" s="376"/>
      <c r="Q377" s="376"/>
      <c r="R377" s="376"/>
    </row>
    <row r="378" spans="15:18">
      <c r="O378" s="376"/>
      <c r="P378" s="376"/>
      <c r="Q378" s="376"/>
      <c r="R378" s="376"/>
    </row>
    <row r="379" spans="15:18">
      <c r="O379" s="376"/>
      <c r="P379" s="376"/>
      <c r="Q379" s="376"/>
      <c r="R379" s="376"/>
    </row>
    <row r="380" spans="15:18">
      <c r="O380" s="376"/>
      <c r="P380" s="376"/>
      <c r="Q380" s="376"/>
      <c r="R380" s="376"/>
    </row>
    <row r="381" spans="15:18">
      <c r="O381" s="376"/>
      <c r="P381" s="376"/>
      <c r="Q381" s="376"/>
      <c r="R381" s="376"/>
    </row>
    <row r="382" spans="15:18">
      <c r="O382" s="376"/>
      <c r="P382" s="376"/>
      <c r="Q382" s="376"/>
      <c r="R382" s="376"/>
    </row>
    <row r="383" spans="15:18">
      <c r="O383" s="376"/>
      <c r="P383" s="376"/>
      <c r="Q383" s="376"/>
      <c r="R383" s="376"/>
    </row>
    <row r="384" spans="15:18">
      <c r="O384" s="376"/>
      <c r="P384" s="376"/>
      <c r="Q384" s="376"/>
      <c r="R384" s="376"/>
    </row>
    <row r="385" spans="15:18">
      <c r="O385" s="376"/>
      <c r="P385" s="376"/>
      <c r="Q385" s="376"/>
      <c r="R385" s="376"/>
    </row>
    <row r="386" spans="15:18">
      <c r="O386" s="376"/>
      <c r="P386" s="376"/>
      <c r="Q386" s="376"/>
      <c r="R386" s="376"/>
    </row>
    <row r="387" spans="15:18">
      <c r="O387" s="376"/>
      <c r="P387" s="376"/>
      <c r="Q387" s="376"/>
      <c r="R387" s="376"/>
    </row>
    <row r="388" spans="15:18">
      <c r="O388" s="376"/>
      <c r="P388" s="376"/>
      <c r="Q388" s="376"/>
      <c r="R388" s="376"/>
    </row>
    <row r="389" spans="15:18">
      <c r="O389" s="376"/>
      <c r="P389" s="376"/>
      <c r="Q389" s="376"/>
      <c r="R389" s="376"/>
    </row>
    <row r="390" spans="15:18">
      <c r="O390" s="376"/>
      <c r="P390" s="376"/>
      <c r="Q390" s="376"/>
      <c r="R390" s="376"/>
    </row>
    <row r="391" spans="15:18">
      <c r="O391" s="376"/>
      <c r="P391" s="376"/>
      <c r="Q391" s="376"/>
      <c r="R391" s="376"/>
    </row>
    <row r="392" spans="15:18">
      <c r="O392" s="376"/>
      <c r="P392" s="376"/>
      <c r="Q392" s="376"/>
      <c r="R392" s="376"/>
    </row>
    <row r="393" spans="15:18">
      <c r="O393" s="376"/>
      <c r="P393" s="376"/>
      <c r="Q393" s="376"/>
      <c r="R393" s="376"/>
    </row>
    <row r="394" spans="15:18">
      <c r="O394" s="376"/>
      <c r="P394" s="376"/>
      <c r="Q394" s="376"/>
      <c r="R394" s="376"/>
    </row>
    <row r="395" spans="15:18">
      <c r="O395" s="376"/>
      <c r="P395" s="376"/>
      <c r="Q395" s="376"/>
      <c r="R395" s="376"/>
    </row>
    <row r="396" spans="15:18">
      <c r="O396" s="376"/>
      <c r="P396" s="376"/>
      <c r="Q396" s="376"/>
      <c r="R396" s="376"/>
    </row>
    <row r="397" spans="15:18">
      <c r="O397" s="376"/>
      <c r="P397" s="376"/>
      <c r="Q397" s="376"/>
      <c r="R397" s="376"/>
    </row>
    <row r="398" spans="15:18">
      <c r="O398" s="376"/>
      <c r="P398" s="376"/>
      <c r="Q398" s="376"/>
      <c r="R398" s="376"/>
    </row>
    <row r="399" spans="15:18">
      <c r="O399" s="376"/>
      <c r="P399" s="376"/>
      <c r="Q399" s="376"/>
      <c r="R399" s="376"/>
    </row>
    <row r="400" spans="15:18">
      <c r="O400" s="376"/>
      <c r="P400" s="376"/>
      <c r="Q400" s="376"/>
      <c r="R400" s="376"/>
    </row>
    <row r="401" spans="15:18">
      <c r="O401" s="376"/>
      <c r="P401" s="376"/>
      <c r="Q401" s="376"/>
      <c r="R401" s="376"/>
    </row>
    <row r="402" spans="15:18">
      <c r="O402" s="376"/>
      <c r="P402" s="376"/>
      <c r="Q402" s="376"/>
      <c r="R402" s="376"/>
    </row>
    <row r="403" spans="15:18">
      <c r="O403" s="376"/>
      <c r="P403" s="376"/>
      <c r="Q403" s="376"/>
      <c r="R403" s="376"/>
    </row>
    <row r="404" spans="15:18">
      <c r="O404" s="376"/>
      <c r="P404" s="376"/>
      <c r="Q404" s="376"/>
      <c r="R404" s="376"/>
    </row>
    <row r="405" spans="15:18">
      <c r="O405" s="376"/>
      <c r="P405" s="376"/>
      <c r="Q405" s="376"/>
      <c r="R405" s="376"/>
    </row>
    <row r="406" spans="15:18">
      <c r="O406" s="376"/>
      <c r="P406" s="376"/>
      <c r="Q406" s="376"/>
      <c r="R406" s="376"/>
    </row>
    <row r="407" spans="15:18">
      <c r="O407" s="376"/>
      <c r="P407" s="376"/>
      <c r="Q407" s="376"/>
      <c r="R407" s="376"/>
    </row>
    <row r="408" spans="15:18">
      <c r="O408" s="376"/>
      <c r="P408" s="376"/>
      <c r="Q408" s="376"/>
      <c r="R408" s="376"/>
    </row>
    <row r="409" spans="15:18">
      <c r="O409" s="376"/>
      <c r="P409" s="376"/>
      <c r="Q409" s="376"/>
      <c r="R409" s="376"/>
    </row>
    <row r="410" spans="15:18">
      <c r="O410" s="376"/>
      <c r="P410" s="376"/>
      <c r="Q410" s="376"/>
      <c r="R410" s="376"/>
    </row>
    <row r="411" spans="15:18">
      <c r="O411" s="376"/>
      <c r="P411" s="376"/>
      <c r="Q411" s="376"/>
      <c r="R411" s="376"/>
    </row>
    <row r="412" spans="15:18">
      <c r="O412" s="376"/>
      <c r="P412" s="376"/>
      <c r="Q412" s="376"/>
      <c r="R412" s="376"/>
    </row>
    <row r="413" spans="15:18">
      <c r="O413" s="376"/>
      <c r="P413" s="376"/>
      <c r="Q413" s="376"/>
      <c r="R413" s="376"/>
    </row>
    <row r="414" spans="15:18">
      <c r="O414" s="376"/>
      <c r="P414" s="376"/>
      <c r="Q414" s="376"/>
      <c r="R414" s="376"/>
    </row>
    <row r="415" spans="15:18">
      <c r="O415" s="376"/>
      <c r="P415" s="376"/>
      <c r="Q415" s="376"/>
      <c r="R415" s="376"/>
    </row>
    <row r="416" spans="15:18">
      <c r="O416" s="376"/>
      <c r="P416" s="376"/>
      <c r="Q416" s="376"/>
      <c r="R416" s="376"/>
    </row>
    <row r="417" spans="15:18">
      <c r="O417" s="376"/>
      <c r="P417" s="376"/>
      <c r="Q417" s="376"/>
      <c r="R417" s="376"/>
    </row>
    <row r="418" spans="15:18">
      <c r="O418" s="376"/>
      <c r="P418" s="376"/>
      <c r="Q418" s="376"/>
      <c r="R418" s="376"/>
    </row>
    <row r="419" spans="15:18">
      <c r="O419" s="376"/>
      <c r="P419" s="376"/>
      <c r="Q419" s="376"/>
      <c r="R419" s="376"/>
    </row>
    <row r="420" spans="15:18">
      <c r="O420" s="376"/>
      <c r="P420" s="376"/>
      <c r="Q420" s="376"/>
      <c r="R420" s="376"/>
    </row>
    <row r="421" spans="15:18">
      <c r="O421" s="376"/>
      <c r="P421" s="376"/>
      <c r="Q421" s="376"/>
      <c r="R421" s="376"/>
    </row>
    <row r="422" spans="15:18">
      <c r="O422" s="376"/>
      <c r="P422" s="376"/>
      <c r="Q422" s="376"/>
      <c r="R422" s="376"/>
    </row>
    <row r="423" spans="15:18">
      <c r="O423" s="376"/>
      <c r="P423" s="376"/>
      <c r="Q423" s="376"/>
      <c r="R423" s="376"/>
    </row>
    <row r="424" spans="15:18">
      <c r="O424" s="376"/>
      <c r="P424" s="376"/>
      <c r="Q424" s="376"/>
      <c r="R424" s="376"/>
    </row>
    <row r="425" spans="15:18">
      <c r="O425" s="376"/>
      <c r="P425" s="376"/>
      <c r="Q425" s="376"/>
      <c r="R425" s="376"/>
    </row>
    <row r="426" spans="15:18">
      <c r="O426" s="376"/>
      <c r="P426" s="376"/>
      <c r="Q426" s="376"/>
      <c r="R426" s="376"/>
    </row>
    <row r="427" spans="15:18">
      <c r="O427" s="376"/>
      <c r="P427" s="376"/>
      <c r="Q427" s="376"/>
      <c r="R427" s="376"/>
    </row>
    <row r="428" spans="15:18">
      <c r="O428" s="376"/>
      <c r="P428" s="376"/>
      <c r="Q428" s="376"/>
      <c r="R428" s="376"/>
    </row>
    <row r="429" spans="15:18">
      <c r="O429" s="376"/>
      <c r="P429" s="376"/>
      <c r="Q429" s="376"/>
      <c r="R429" s="376"/>
    </row>
    <row r="430" spans="15:18">
      <c r="O430" s="376"/>
      <c r="P430" s="376"/>
      <c r="Q430" s="376"/>
      <c r="R430" s="376"/>
    </row>
    <row r="431" spans="15:18">
      <c r="O431" s="376"/>
      <c r="P431" s="376"/>
      <c r="Q431" s="376"/>
      <c r="R431" s="376"/>
    </row>
    <row r="432" spans="15:18">
      <c r="O432" s="376"/>
      <c r="P432" s="376"/>
      <c r="Q432" s="376"/>
      <c r="R432" s="376"/>
    </row>
    <row r="433" spans="15:18">
      <c r="O433" s="376"/>
      <c r="P433" s="376"/>
      <c r="Q433" s="376"/>
      <c r="R433" s="376"/>
    </row>
    <row r="434" spans="15:18">
      <c r="O434" s="376"/>
      <c r="P434" s="376"/>
      <c r="Q434" s="376"/>
      <c r="R434" s="376"/>
    </row>
    <row r="435" spans="15:18">
      <c r="O435" s="376"/>
      <c r="P435" s="376"/>
      <c r="Q435" s="376"/>
      <c r="R435" s="376"/>
    </row>
    <row r="436" spans="15:18">
      <c r="O436" s="376"/>
      <c r="P436" s="376"/>
      <c r="Q436" s="376"/>
      <c r="R436" s="376"/>
    </row>
    <row r="437" spans="15:18">
      <c r="O437" s="376"/>
      <c r="P437" s="376"/>
      <c r="Q437" s="376"/>
      <c r="R437" s="376"/>
    </row>
    <row r="438" spans="15:18">
      <c r="O438" s="376"/>
      <c r="P438" s="376"/>
      <c r="Q438" s="376"/>
      <c r="R438" s="376"/>
    </row>
    <row r="439" spans="15:18">
      <c r="O439" s="376"/>
      <c r="P439" s="376"/>
      <c r="Q439" s="376"/>
      <c r="R439" s="376"/>
    </row>
    <row r="440" spans="15:18">
      <c r="O440" s="376"/>
      <c r="P440" s="376"/>
      <c r="Q440" s="376"/>
      <c r="R440" s="376"/>
    </row>
    <row r="441" spans="15:18">
      <c r="O441" s="376"/>
      <c r="P441" s="376"/>
      <c r="Q441" s="376"/>
      <c r="R441" s="376"/>
    </row>
    <row r="442" spans="15:18">
      <c r="O442" s="376"/>
      <c r="P442" s="376"/>
      <c r="Q442" s="376"/>
      <c r="R442" s="376"/>
    </row>
    <row r="443" spans="15:18">
      <c r="O443" s="376"/>
      <c r="P443" s="376"/>
      <c r="Q443" s="376"/>
      <c r="R443" s="376"/>
    </row>
    <row r="444" spans="15:18">
      <c r="O444" s="376"/>
      <c r="P444" s="376"/>
      <c r="Q444" s="376"/>
      <c r="R444" s="376"/>
    </row>
    <row r="445" spans="15:18">
      <c r="O445" s="376"/>
      <c r="P445" s="376"/>
      <c r="Q445" s="376"/>
      <c r="R445" s="376"/>
    </row>
    <row r="446" spans="15:18">
      <c r="O446" s="376"/>
      <c r="P446" s="376"/>
      <c r="Q446" s="376"/>
      <c r="R446" s="376"/>
    </row>
    <row r="447" spans="15:18">
      <c r="O447" s="376"/>
      <c r="P447" s="376"/>
      <c r="Q447" s="376"/>
      <c r="R447" s="376"/>
    </row>
    <row r="448" spans="15:18">
      <c r="O448" s="376"/>
      <c r="P448" s="376"/>
      <c r="Q448" s="376"/>
      <c r="R448" s="376"/>
    </row>
    <row r="449" spans="15:18">
      <c r="O449" s="376"/>
      <c r="P449" s="376"/>
      <c r="Q449" s="376"/>
      <c r="R449" s="376"/>
    </row>
    <row r="450" spans="15:18">
      <c r="O450" s="376"/>
      <c r="P450" s="376"/>
      <c r="Q450" s="376"/>
      <c r="R450" s="376"/>
    </row>
    <row r="451" spans="15:18">
      <c r="O451" s="376"/>
      <c r="P451" s="376"/>
      <c r="Q451" s="376"/>
      <c r="R451" s="376"/>
    </row>
    <row r="452" spans="15:18">
      <c r="O452" s="376"/>
      <c r="P452" s="376"/>
      <c r="Q452" s="376"/>
      <c r="R452" s="376"/>
    </row>
    <row r="453" spans="15:18">
      <c r="O453" s="376"/>
      <c r="P453" s="376"/>
      <c r="Q453" s="376"/>
      <c r="R453" s="376"/>
    </row>
    <row r="454" spans="15:18">
      <c r="O454" s="376"/>
      <c r="P454" s="376"/>
      <c r="Q454" s="376"/>
      <c r="R454" s="376"/>
    </row>
    <row r="455" spans="15:18">
      <c r="O455" s="376"/>
      <c r="P455" s="376"/>
      <c r="Q455" s="376"/>
      <c r="R455" s="376"/>
    </row>
    <row r="456" spans="15:18">
      <c r="O456" s="376"/>
      <c r="P456" s="376"/>
      <c r="Q456" s="376"/>
      <c r="R456" s="376"/>
    </row>
    <row r="457" spans="15:18">
      <c r="O457" s="376"/>
      <c r="P457" s="376"/>
      <c r="Q457" s="376"/>
      <c r="R457" s="376"/>
    </row>
    <row r="458" spans="15:18">
      <c r="O458" s="376"/>
      <c r="P458" s="376"/>
      <c r="Q458" s="376"/>
      <c r="R458" s="376"/>
    </row>
    <row r="459" spans="15:18">
      <c r="O459" s="376"/>
      <c r="P459" s="376"/>
      <c r="Q459" s="376"/>
      <c r="R459" s="376"/>
    </row>
    <row r="460" spans="15:18">
      <c r="O460" s="376"/>
      <c r="P460" s="376"/>
      <c r="Q460" s="376"/>
      <c r="R460" s="376"/>
    </row>
    <row r="461" spans="15:18">
      <c r="O461" s="376"/>
      <c r="P461" s="376"/>
      <c r="Q461" s="376"/>
      <c r="R461" s="376"/>
    </row>
    <row r="462" spans="15:18">
      <c r="O462" s="376"/>
      <c r="P462" s="376"/>
      <c r="Q462" s="376"/>
      <c r="R462" s="376"/>
    </row>
    <row r="463" spans="15:18">
      <c r="O463" s="376"/>
      <c r="P463" s="376"/>
      <c r="Q463" s="376"/>
      <c r="R463" s="376"/>
    </row>
    <row r="464" spans="15:18">
      <c r="O464" s="376"/>
      <c r="P464" s="376"/>
      <c r="Q464" s="376"/>
      <c r="R464" s="376"/>
    </row>
    <row r="465" spans="15:18">
      <c r="O465" s="376"/>
      <c r="P465" s="376"/>
      <c r="Q465" s="376"/>
      <c r="R465" s="376"/>
    </row>
    <row r="466" spans="15:18">
      <c r="O466" s="376"/>
      <c r="P466" s="376"/>
      <c r="Q466" s="376"/>
      <c r="R466" s="376"/>
    </row>
    <row r="467" spans="15:18">
      <c r="O467" s="376"/>
      <c r="P467" s="376"/>
      <c r="Q467" s="376"/>
      <c r="R467" s="376"/>
    </row>
    <row r="468" spans="15:18">
      <c r="O468" s="376"/>
      <c r="P468" s="376"/>
      <c r="Q468" s="376"/>
      <c r="R468" s="376"/>
    </row>
    <row r="469" spans="15:18">
      <c r="O469" s="376"/>
      <c r="P469" s="376"/>
      <c r="Q469" s="376"/>
      <c r="R469" s="376"/>
    </row>
    <row r="470" spans="15:18">
      <c r="O470" s="376"/>
      <c r="P470" s="376"/>
      <c r="Q470" s="376"/>
      <c r="R470" s="376"/>
    </row>
    <row r="471" spans="15:18">
      <c r="O471" s="376"/>
      <c r="P471" s="376"/>
      <c r="Q471" s="376"/>
      <c r="R471" s="376"/>
    </row>
    <row r="472" spans="15:18">
      <c r="O472" s="376"/>
      <c r="P472" s="376"/>
      <c r="Q472" s="376"/>
      <c r="R472" s="376"/>
    </row>
    <row r="473" spans="15:18">
      <c r="O473" s="376"/>
      <c r="P473" s="376"/>
      <c r="Q473" s="376"/>
      <c r="R473" s="376"/>
    </row>
    <row r="474" spans="15:18">
      <c r="O474" s="376"/>
      <c r="P474" s="376"/>
      <c r="Q474" s="376"/>
      <c r="R474" s="376"/>
    </row>
    <row r="475" spans="15:18">
      <c r="O475" s="376"/>
      <c r="P475" s="376"/>
      <c r="Q475" s="376"/>
      <c r="R475" s="376"/>
    </row>
    <row r="476" spans="15:18">
      <c r="O476" s="376"/>
      <c r="P476" s="376"/>
      <c r="Q476" s="376"/>
      <c r="R476" s="376"/>
    </row>
    <row r="477" spans="15:18">
      <c r="O477" s="376"/>
      <c r="P477" s="376"/>
      <c r="Q477" s="376"/>
      <c r="R477" s="376"/>
    </row>
    <row r="478" spans="15:18">
      <c r="O478" s="376"/>
      <c r="P478" s="376"/>
      <c r="Q478" s="376"/>
      <c r="R478" s="376"/>
    </row>
    <row r="479" spans="15:18">
      <c r="O479" s="376"/>
      <c r="P479" s="376"/>
      <c r="Q479" s="376"/>
      <c r="R479" s="376"/>
    </row>
    <row r="480" spans="15:18">
      <c r="O480" s="376"/>
      <c r="P480" s="376"/>
      <c r="Q480" s="376"/>
      <c r="R480" s="376"/>
    </row>
    <row r="481" spans="15:18">
      <c r="O481" s="376"/>
      <c r="P481" s="376"/>
      <c r="Q481" s="376"/>
      <c r="R481" s="376"/>
    </row>
    <row r="482" spans="15:18">
      <c r="O482" s="376"/>
      <c r="P482" s="376"/>
      <c r="Q482" s="376"/>
      <c r="R482" s="376"/>
    </row>
    <row r="483" spans="15:18">
      <c r="O483" s="376"/>
      <c r="P483" s="376"/>
      <c r="Q483" s="376"/>
      <c r="R483" s="376"/>
    </row>
    <row r="484" spans="15:18">
      <c r="O484" s="376"/>
      <c r="P484" s="376"/>
      <c r="Q484" s="376"/>
      <c r="R484" s="376"/>
    </row>
    <row r="485" spans="15:18">
      <c r="O485" s="376"/>
      <c r="P485" s="376"/>
      <c r="Q485" s="376"/>
      <c r="R485" s="376"/>
    </row>
    <row r="486" spans="15:18">
      <c r="O486" s="376"/>
      <c r="P486" s="376"/>
      <c r="Q486" s="376"/>
      <c r="R486" s="376"/>
    </row>
    <row r="487" spans="15:18">
      <c r="O487" s="376"/>
      <c r="P487" s="376"/>
      <c r="Q487" s="376"/>
      <c r="R487" s="376"/>
    </row>
    <row r="488" spans="15:18">
      <c r="O488" s="376"/>
      <c r="P488" s="376"/>
      <c r="Q488" s="376"/>
      <c r="R488" s="376"/>
    </row>
    <row r="489" spans="15:18">
      <c r="O489" s="376"/>
      <c r="P489" s="376"/>
      <c r="Q489" s="376"/>
      <c r="R489" s="376"/>
    </row>
    <row r="490" spans="15:18">
      <c r="O490" s="376"/>
      <c r="P490" s="376"/>
      <c r="Q490" s="376"/>
      <c r="R490" s="376"/>
    </row>
    <row r="491" spans="15:18">
      <c r="O491" s="376"/>
      <c r="P491" s="376"/>
      <c r="Q491" s="376"/>
      <c r="R491" s="376"/>
    </row>
    <row r="492" spans="15:18">
      <c r="O492" s="376"/>
      <c r="P492" s="376"/>
      <c r="Q492" s="376"/>
      <c r="R492" s="376"/>
    </row>
    <row r="493" spans="15:18">
      <c r="O493" s="376"/>
      <c r="P493" s="376"/>
      <c r="Q493" s="376"/>
      <c r="R493" s="376"/>
    </row>
    <row r="494" spans="15:18">
      <c r="O494" s="376"/>
      <c r="P494" s="376"/>
      <c r="Q494" s="376"/>
      <c r="R494" s="376"/>
    </row>
    <row r="495" spans="15:18">
      <c r="O495" s="376"/>
      <c r="P495" s="376"/>
      <c r="Q495" s="376"/>
      <c r="R495" s="376"/>
    </row>
    <row r="496" spans="15:18">
      <c r="O496" s="376"/>
      <c r="P496" s="376"/>
      <c r="Q496" s="376"/>
      <c r="R496" s="376"/>
    </row>
    <row r="497" spans="15:18">
      <c r="O497" s="376"/>
      <c r="P497" s="376"/>
      <c r="Q497" s="376"/>
      <c r="R497" s="376"/>
    </row>
    <row r="498" spans="15:18">
      <c r="O498" s="376"/>
      <c r="P498" s="376"/>
      <c r="Q498" s="376"/>
      <c r="R498" s="376"/>
    </row>
    <row r="499" spans="15:18">
      <c r="O499" s="376"/>
      <c r="P499" s="376"/>
      <c r="Q499" s="376"/>
      <c r="R499" s="376"/>
    </row>
    <row r="500" spans="15:18">
      <c r="O500" s="376"/>
      <c r="P500" s="376"/>
      <c r="Q500" s="376"/>
      <c r="R500" s="376"/>
    </row>
    <row r="501" spans="15:18">
      <c r="O501" s="376"/>
      <c r="P501" s="376"/>
      <c r="Q501" s="376"/>
      <c r="R501" s="376"/>
    </row>
    <row r="502" spans="15:18">
      <c r="O502" s="376"/>
      <c r="P502" s="376"/>
      <c r="Q502" s="376"/>
      <c r="R502" s="376"/>
    </row>
    <row r="503" spans="15:18">
      <c r="O503" s="376"/>
      <c r="P503" s="376"/>
      <c r="Q503" s="376"/>
      <c r="R503" s="376"/>
    </row>
    <row r="504" spans="15:18">
      <c r="O504" s="376"/>
      <c r="P504" s="376"/>
      <c r="Q504" s="376"/>
      <c r="R504" s="376"/>
    </row>
    <row r="505" spans="15:18">
      <c r="O505" s="376"/>
      <c r="P505" s="376"/>
      <c r="Q505" s="376"/>
      <c r="R505" s="376"/>
    </row>
    <row r="506" spans="15:18">
      <c r="O506" s="376"/>
      <c r="P506" s="376"/>
      <c r="Q506" s="376"/>
      <c r="R506" s="376"/>
    </row>
    <row r="507" spans="15:18">
      <c r="O507" s="376"/>
      <c r="P507" s="376"/>
      <c r="Q507" s="376"/>
      <c r="R507" s="376"/>
    </row>
    <row r="508" spans="15:18">
      <c r="O508" s="376"/>
      <c r="P508" s="376"/>
      <c r="Q508" s="376"/>
      <c r="R508" s="376"/>
    </row>
    <row r="509" spans="15:18">
      <c r="O509" s="376"/>
      <c r="P509" s="376"/>
      <c r="Q509" s="376"/>
      <c r="R509" s="376"/>
    </row>
    <row r="510" spans="15:18">
      <c r="O510" s="376"/>
      <c r="P510" s="376"/>
      <c r="Q510" s="376"/>
      <c r="R510" s="376"/>
    </row>
    <row r="511" spans="15:18">
      <c r="O511" s="376"/>
      <c r="P511" s="376"/>
      <c r="Q511" s="376"/>
      <c r="R511" s="376"/>
    </row>
    <row r="512" spans="15:18">
      <c r="O512" s="376"/>
      <c r="P512" s="376"/>
      <c r="Q512" s="376"/>
      <c r="R512" s="376"/>
    </row>
    <row r="513" spans="15:18">
      <c r="O513" s="376"/>
      <c r="P513" s="376"/>
      <c r="Q513" s="376"/>
      <c r="R513" s="376"/>
    </row>
    <row r="514" spans="15:18">
      <c r="O514" s="376"/>
      <c r="P514" s="376"/>
      <c r="Q514" s="376"/>
      <c r="R514" s="376"/>
    </row>
    <row r="515" spans="15:18">
      <c r="O515" s="376"/>
      <c r="P515" s="376"/>
      <c r="Q515" s="376"/>
      <c r="R515" s="376"/>
    </row>
    <row r="516" spans="15:18">
      <c r="O516" s="376"/>
      <c r="P516" s="376"/>
      <c r="Q516" s="376"/>
      <c r="R516" s="376"/>
    </row>
    <row r="517" spans="15:18">
      <c r="O517" s="376"/>
      <c r="P517" s="376"/>
      <c r="Q517" s="376"/>
      <c r="R517" s="376"/>
    </row>
    <row r="518" spans="15:18">
      <c r="O518" s="376"/>
      <c r="P518" s="376"/>
      <c r="Q518" s="376"/>
      <c r="R518" s="376"/>
    </row>
    <row r="519" spans="15:18">
      <c r="O519" s="376"/>
      <c r="P519" s="376"/>
      <c r="Q519" s="376"/>
      <c r="R519" s="376"/>
    </row>
    <row r="520" spans="15:18">
      <c r="O520" s="376"/>
      <c r="P520" s="376"/>
      <c r="Q520" s="376"/>
      <c r="R520" s="376"/>
    </row>
    <row r="521" spans="15:18">
      <c r="O521" s="376"/>
      <c r="P521" s="376"/>
      <c r="Q521" s="376"/>
      <c r="R521" s="376"/>
    </row>
    <row r="522" spans="15:18">
      <c r="O522" s="376"/>
      <c r="P522" s="376"/>
      <c r="Q522" s="376"/>
      <c r="R522" s="376"/>
    </row>
    <row r="523" spans="15:18">
      <c r="O523" s="376"/>
      <c r="P523" s="376"/>
      <c r="Q523" s="376"/>
      <c r="R523" s="376"/>
    </row>
    <row r="524" spans="15:18">
      <c r="O524" s="376"/>
      <c r="P524" s="376"/>
      <c r="Q524" s="376"/>
      <c r="R524" s="376"/>
    </row>
    <row r="525" spans="15:18">
      <c r="O525" s="376"/>
      <c r="P525" s="376"/>
      <c r="Q525" s="376"/>
      <c r="R525" s="376"/>
    </row>
    <row r="526" spans="15:18">
      <c r="O526" s="376"/>
      <c r="P526" s="376"/>
      <c r="Q526" s="376"/>
      <c r="R526" s="376"/>
    </row>
    <row r="527" spans="15:18">
      <c r="O527" s="376"/>
      <c r="P527" s="376"/>
      <c r="Q527" s="376"/>
      <c r="R527" s="376"/>
    </row>
    <row r="528" spans="15:18">
      <c r="O528" s="376"/>
      <c r="P528" s="376"/>
      <c r="Q528" s="376"/>
      <c r="R528" s="376"/>
    </row>
    <row r="529" spans="15:18">
      <c r="O529" s="376"/>
      <c r="P529" s="376"/>
      <c r="Q529" s="376"/>
      <c r="R529" s="376"/>
    </row>
    <row r="530" spans="15:18">
      <c r="O530" s="376"/>
      <c r="P530" s="376"/>
      <c r="Q530" s="376"/>
      <c r="R530" s="376"/>
    </row>
    <row r="531" spans="15:18">
      <c r="O531" s="376"/>
      <c r="P531" s="376"/>
      <c r="Q531" s="376"/>
      <c r="R531" s="376"/>
    </row>
    <row r="532" spans="15:18">
      <c r="O532" s="376"/>
      <c r="P532" s="376"/>
      <c r="Q532" s="376"/>
      <c r="R532" s="376"/>
    </row>
    <row r="533" spans="15:18">
      <c r="O533" s="376"/>
      <c r="P533" s="376"/>
      <c r="Q533" s="376"/>
      <c r="R533" s="376"/>
    </row>
    <row r="534" spans="15:18">
      <c r="O534" s="376"/>
      <c r="P534" s="376"/>
      <c r="Q534" s="376"/>
      <c r="R534" s="376"/>
    </row>
    <row r="535" spans="15:18">
      <c r="O535" s="376"/>
      <c r="P535" s="376"/>
      <c r="Q535" s="376"/>
      <c r="R535" s="376"/>
    </row>
    <row r="536" spans="15:18">
      <c r="O536" s="376"/>
      <c r="P536" s="376"/>
      <c r="Q536" s="376"/>
      <c r="R536" s="376"/>
    </row>
    <row r="537" spans="15:18">
      <c r="O537" s="376"/>
      <c r="P537" s="376"/>
      <c r="Q537" s="376"/>
      <c r="R537" s="376"/>
    </row>
    <row r="538" spans="15:18">
      <c r="O538" s="376"/>
      <c r="P538" s="376"/>
      <c r="Q538" s="376"/>
      <c r="R538" s="376"/>
    </row>
    <row r="539" spans="15:18">
      <c r="O539" s="376"/>
      <c r="P539" s="376"/>
      <c r="Q539" s="376"/>
      <c r="R539" s="376"/>
    </row>
    <row r="540" spans="15:18">
      <c r="O540" s="376"/>
      <c r="P540" s="376"/>
      <c r="Q540" s="376"/>
      <c r="R540" s="376"/>
    </row>
    <row r="541" spans="15:18">
      <c r="O541" s="376"/>
      <c r="P541" s="376"/>
      <c r="Q541" s="376"/>
      <c r="R541" s="376"/>
    </row>
    <row r="542" spans="15:18">
      <c r="O542" s="376"/>
      <c r="P542" s="376"/>
      <c r="Q542" s="376"/>
      <c r="R542" s="376"/>
    </row>
    <row r="543" spans="15:18">
      <c r="O543" s="376"/>
      <c r="P543" s="376"/>
      <c r="Q543" s="376"/>
      <c r="R543" s="376"/>
    </row>
    <row r="544" spans="15:18">
      <c r="O544" s="376"/>
      <c r="P544" s="376"/>
      <c r="Q544" s="376"/>
      <c r="R544" s="376"/>
    </row>
    <row r="545" spans="15:18">
      <c r="O545" s="376"/>
      <c r="P545" s="376"/>
      <c r="Q545" s="376"/>
      <c r="R545" s="376"/>
    </row>
    <row r="546" spans="15:18">
      <c r="O546" s="376"/>
      <c r="P546" s="376"/>
      <c r="Q546" s="376"/>
      <c r="R546" s="376"/>
    </row>
    <row r="547" spans="15:18">
      <c r="O547" s="376"/>
      <c r="P547" s="376"/>
      <c r="Q547" s="376"/>
      <c r="R547" s="376"/>
    </row>
    <row r="548" spans="15:18">
      <c r="O548" s="376"/>
      <c r="P548" s="376"/>
      <c r="Q548" s="376"/>
      <c r="R548" s="376"/>
    </row>
    <row r="549" spans="15:18">
      <c r="O549" s="376"/>
      <c r="P549" s="376"/>
      <c r="Q549" s="376"/>
      <c r="R549" s="376"/>
    </row>
    <row r="550" spans="15:18">
      <c r="O550" s="376"/>
      <c r="P550" s="376"/>
      <c r="Q550" s="376"/>
      <c r="R550" s="376"/>
    </row>
    <row r="551" spans="15:18">
      <c r="O551" s="376"/>
      <c r="P551" s="376"/>
      <c r="Q551" s="376"/>
      <c r="R551" s="376"/>
    </row>
    <row r="552" spans="15:18">
      <c r="O552" s="376"/>
      <c r="P552" s="376"/>
      <c r="Q552" s="376"/>
      <c r="R552" s="376"/>
    </row>
    <row r="553" spans="15:18">
      <c r="O553" s="376"/>
      <c r="P553" s="376"/>
      <c r="Q553" s="376"/>
      <c r="R553" s="376"/>
    </row>
    <row r="554" spans="15:18">
      <c r="O554" s="376"/>
      <c r="P554" s="376"/>
      <c r="Q554" s="376"/>
      <c r="R554" s="376"/>
    </row>
    <row r="555" spans="15:18">
      <c r="O555" s="376"/>
      <c r="P555" s="376"/>
      <c r="Q555" s="376"/>
      <c r="R555" s="376"/>
    </row>
    <row r="556" spans="15:18">
      <c r="O556" s="376"/>
      <c r="P556" s="376"/>
      <c r="Q556" s="376"/>
      <c r="R556" s="376"/>
    </row>
    <row r="557" spans="15:18">
      <c r="O557" s="376"/>
      <c r="P557" s="376"/>
      <c r="Q557" s="376"/>
      <c r="R557" s="376"/>
    </row>
    <row r="558" spans="15:18">
      <c r="O558" s="376"/>
      <c r="P558" s="376"/>
      <c r="Q558" s="376"/>
      <c r="R558" s="376"/>
    </row>
    <row r="559" spans="15:18">
      <c r="O559" s="376"/>
      <c r="P559" s="376"/>
      <c r="Q559" s="376"/>
      <c r="R559" s="376"/>
    </row>
    <row r="560" spans="15:18">
      <c r="O560" s="376"/>
      <c r="P560" s="376"/>
      <c r="Q560" s="376"/>
      <c r="R560" s="376"/>
    </row>
    <row r="561" spans="15:18">
      <c r="O561" s="376"/>
      <c r="P561" s="376"/>
      <c r="Q561" s="376"/>
      <c r="R561" s="376"/>
    </row>
    <row r="562" spans="15:18">
      <c r="O562" s="376"/>
      <c r="P562" s="376"/>
      <c r="Q562" s="376"/>
      <c r="R562" s="376"/>
    </row>
    <row r="563" spans="15:18">
      <c r="O563" s="376"/>
      <c r="P563" s="376"/>
      <c r="Q563" s="376"/>
      <c r="R563" s="376"/>
    </row>
    <row r="564" spans="15:18">
      <c r="O564" s="376"/>
      <c r="P564" s="376"/>
      <c r="Q564" s="376"/>
      <c r="R564" s="376"/>
    </row>
    <row r="565" spans="15:18">
      <c r="O565" s="376"/>
      <c r="P565" s="376"/>
      <c r="Q565" s="376"/>
      <c r="R565" s="376"/>
    </row>
    <row r="566" spans="15:18">
      <c r="O566" s="376"/>
      <c r="P566" s="376"/>
      <c r="Q566" s="376"/>
      <c r="R566" s="376"/>
    </row>
    <row r="567" spans="15:18">
      <c r="O567" s="376"/>
      <c r="P567" s="376"/>
      <c r="Q567" s="376"/>
      <c r="R567" s="376"/>
    </row>
    <row r="568" spans="15:18">
      <c r="O568" s="376"/>
      <c r="P568" s="376"/>
      <c r="Q568" s="376"/>
      <c r="R568" s="376"/>
    </row>
    <row r="569" spans="15:18">
      <c r="O569" s="376"/>
      <c r="P569" s="376"/>
      <c r="Q569" s="376"/>
      <c r="R569" s="376"/>
    </row>
    <row r="570" spans="15:18">
      <c r="O570" s="376"/>
      <c r="P570" s="376"/>
      <c r="Q570" s="376"/>
      <c r="R570" s="376"/>
    </row>
    <row r="571" spans="15:18">
      <c r="O571" s="376"/>
      <c r="P571" s="376"/>
      <c r="Q571" s="376"/>
      <c r="R571" s="376"/>
    </row>
    <row r="572" spans="15:18">
      <c r="O572" s="376"/>
      <c r="P572" s="376"/>
      <c r="Q572" s="376"/>
      <c r="R572" s="376"/>
    </row>
    <row r="573" spans="15:18">
      <c r="O573" s="376"/>
      <c r="P573" s="376"/>
      <c r="Q573" s="376"/>
      <c r="R573" s="376"/>
    </row>
    <row r="574" spans="15:18">
      <c r="O574" s="376"/>
      <c r="P574" s="376"/>
      <c r="Q574" s="376"/>
      <c r="R574" s="376"/>
    </row>
    <row r="575" spans="15:18">
      <c r="O575" s="376"/>
      <c r="P575" s="376"/>
      <c r="Q575" s="376"/>
      <c r="R575" s="376"/>
    </row>
    <row r="576" spans="15:18">
      <c r="O576" s="376"/>
      <c r="P576" s="376"/>
      <c r="Q576" s="376"/>
      <c r="R576" s="376"/>
    </row>
    <row r="577" spans="15:18">
      <c r="O577" s="376"/>
      <c r="P577" s="376"/>
      <c r="Q577" s="376"/>
      <c r="R577" s="376"/>
    </row>
    <row r="578" spans="15:18">
      <c r="O578" s="376"/>
      <c r="P578" s="376"/>
      <c r="Q578" s="376"/>
      <c r="R578" s="376"/>
    </row>
    <row r="579" spans="15:18">
      <c r="O579" s="376"/>
      <c r="P579" s="376"/>
      <c r="Q579" s="376"/>
      <c r="R579" s="376"/>
    </row>
    <row r="580" spans="15:18">
      <c r="O580" s="376"/>
      <c r="P580" s="376"/>
      <c r="Q580" s="376"/>
      <c r="R580" s="376"/>
    </row>
    <row r="581" spans="15:18">
      <c r="O581" s="376"/>
      <c r="P581" s="376"/>
      <c r="Q581" s="376"/>
      <c r="R581" s="376"/>
    </row>
    <row r="582" spans="15:18">
      <c r="O582" s="376"/>
      <c r="P582" s="376"/>
      <c r="Q582" s="376"/>
      <c r="R582" s="376"/>
    </row>
    <row r="583" spans="15:18">
      <c r="O583" s="376"/>
      <c r="P583" s="376"/>
      <c r="Q583" s="376"/>
      <c r="R583" s="376"/>
    </row>
    <row r="584" spans="15:18">
      <c r="O584" s="376"/>
      <c r="P584" s="376"/>
      <c r="Q584" s="376"/>
      <c r="R584" s="376"/>
    </row>
    <row r="585" spans="15:18">
      <c r="O585" s="376"/>
      <c r="P585" s="376"/>
      <c r="Q585" s="376"/>
      <c r="R585" s="376"/>
    </row>
    <row r="586" spans="15:18">
      <c r="O586" s="376"/>
      <c r="P586" s="376"/>
      <c r="Q586" s="376"/>
      <c r="R586" s="376"/>
    </row>
    <row r="587" spans="15:18">
      <c r="O587" s="376"/>
      <c r="P587" s="376"/>
      <c r="Q587" s="376"/>
      <c r="R587" s="376"/>
    </row>
    <row r="588" spans="15:18">
      <c r="O588" s="376"/>
      <c r="P588" s="376"/>
      <c r="Q588" s="376"/>
      <c r="R588" s="376"/>
    </row>
    <row r="589" spans="15:18">
      <c r="O589" s="376"/>
      <c r="P589" s="376"/>
      <c r="Q589" s="376"/>
      <c r="R589" s="376"/>
    </row>
    <row r="590" spans="15:18">
      <c r="O590" s="376"/>
      <c r="P590" s="376"/>
      <c r="Q590" s="376"/>
      <c r="R590" s="376"/>
    </row>
    <row r="591" spans="15:18">
      <c r="O591" s="376"/>
      <c r="P591" s="376"/>
      <c r="Q591" s="376"/>
      <c r="R591" s="376"/>
    </row>
    <row r="592" spans="15:18">
      <c r="O592" s="376"/>
      <c r="P592" s="376"/>
      <c r="Q592" s="376"/>
      <c r="R592" s="376"/>
    </row>
    <row r="593" spans="15:18">
      <c r="O593" s="376"/>
      <c r="P593" s="376"/>
      <c r="Q593" s="376"/>
      <c r="R593" s="376"/>
    </row>
    <row r="594" spans="15:18">
      <c r="O594" s="376"/>
      <c r="P594" s="376"/>
      <c r="Q594" s="376"/>
      <c r="R594" s="376"/>
    </row>
    <row r="595" spans="15:18">
      <c r="O595" s="376"/>
      <c r="P595" s="376"/>
      <c r="Q595" s="376"/>
      <c r="R595" s="376"/>
    </row>
    <row r="596" spans="15:18">
      <c r="O596" s="376"/>
      <c r="P596" s="376"/>
      <c r="Q596" s="376"/>
      <c r="R596" s="376"/>
    </row>
    <row r="597" spans="15:18">
      <c r="O597" s="376"/>
      <c r="P597" s="376"/>
      <c r="Q597" s="376"/>
      <c r="R597" s="376"/>
    </row>
    <row r="598" spans="15:18">
      <c r="O598" s="376"/>
      <c r="P598" s="376"/>
      <c r="Q598" s="376"/>
      <c r="R598" s="376"/>
    </row>
    <row r="599" spans="15:18">
      <c r="O599" s="376"/>
      <c r="P599" s="376"/>
      <c r="Q599" s="376"/>
      <c r="R599" s="376"/>
    </row>
    <row r="600" spans="15:18">
      <c r="O600" s="376"/>
      <c r="P600" s="376"/>
      <c r="Q600" s="376"/>
      <c r="R600" s="376"/>
    </row>
    <row r="601" spans="15:18">
      <c r="O601" s="376"/>
      <c r="P601" s="376"/>
      <c r="Q601" s="376"/>
      <c r="R601" s="376"/>
    </row>
    <row r="602" spans="15:18">
      <c r="O602" s="376"/>
      <c r="P602" s="376"/>
      <c r="Q602" s="376"/>
      <c r="R602" s="376"/>
    </row>
    <row r="603" spans="15:18">
      <c r="O603" s="376"/>
      <c r="P603" s="376"/>
      <c r="Q603" s="376"/>
      <c r="R603" s="376"/>
    </row>
    <row r="604" spans="15:18">
      <c r="O604" s="376"/>
      <c r="P604" s="376"/>
      <c r="Q604" s="376"/>
      <c r="R604" s="376"/>
    </row>
    <row r="605" spans="15:18">
      <c r="O605" s="376"/>
      <c r="P605" s="376"/>
      <c r="Q605" s="376"/>
      <c r="R605" s="376"/>
    </row>
    <row r="606" spans="15:18">
      <c r="O606" s="376"/>
      <c r="P606" s="376"/>
      <c r="Q606" s="376"/>
      <c r="R606" s="376"/>
    </row>
    <row r="607" spans="15:18">
      <c r="O607" s="376"/>
      <c r="P607" s="376"/>
      <c r="Q607" s="376"/>
      <c r="R607" s="376"/>
    </row>
    <row r="608" spans="15:18">
      <c r="O608" s="376"/>
      <c r="P608" s="376"/>
      <c r="Q608" s="376"/>
      <c r="R608" s="376"/>
    </row>
    <row r="609" spans="15:18">
      <c r="O609" s="376"/>
      <c r="P609" s="376"/>
      <c r="Q609" s="376"/>
      <c r="R609" s="376"/>
    </row>
    <row r="610" spans="15:18">
      <c r="O610" s="376"/>
      <c r="P610" s="376"/>
      <c r="Q610" s="376"/>
      <c r="R610" s="376"/>
    </row>
    <row r="611" spans="15:18">
      <c r="O611" s="376"/>
      <c r="P611" s="376"/>
      <c r="Q611" s="376"/>
      <c r="R611" s="376"/>
    </row>
    <row r="612" spans="15:18">
      <c r="O612" s="376"/>
      <c r="P612" s="376"/>
      <c r="Q612" s="376"/>
      <c r="R612" s="376"/>
    </row>
    <row r="613" spans="15:18">
      <c r="O613" s="376"/>
      <c r="P613" s="376"/>
      <c r="Q613" s="376"/>
      <c r="R613" s="376"/>
    </row>
    <row r="614" spans="15:18">
      <c r="O614" s="376"/>
      <c r="P614" s="376"/>
      <c r="Q614" s="376"/>
      <c r="R614" s="376"/>
    </row>
    <row r="615" spans="15:18">
      <c r="O615" s="376"/>
      <c r="P615" s="376"/>
      <c r="Q615" s="376"/>
      <c r="R615" s="376"/>
    </row>
    <row r="616" spans="15:18">
      <c r="O616" s="376"/>
      <c r="P616" s="376"/>
      <c r="Q616" s="376"/>
      <c r="R616" s="376"/>
    </row>
    <row r="617" spans="15:18">
      <c r="O617" s="376"/>
      <c r="P617" s="376"/>
      <c r="Q617" s="376"/>
      <c r="R617" s="376"/>
    </row>
    <row r="618" spans="15:18">
      <c r="O618" s="376"/>
      <c r="P618" s="376"/>
      <c r="Q618" s="376"/>
      <c r="R618" s="376"/>
    </row>
    <row r="619" spans="15:18">
      <c r="O619" s="376"/>
      <c r="P619" s="376"/>
      <c r="Q619" s="376"/>
      <c r="R619" s="376"/>
    </row>
    <row r="620" spans="15:18">
      <c r="O620" s="376"/>
      <c r="P620" s="376"/>
      <c r="Q620" s="376"/>
      <c r="R620" s="376"/>
    </row>
    <row r="621" spans="15:18">
      <c r="O621" s="376"/>
      <c r="P621" s="376"/>
      <c r="Q621" s="376"/>
      <c r="R621" s="376"/>
    </row>
    <row r="622" spans="15:18">
      <c r="O622" s="376"/>
      <c r="P622" s="376"/>
      <c r="Q622" s="376"/>
      <c r="R622" s="376"/>
    </row>
    <row r="623" spans="15:18">
      <c r="O623" s="376"/>
      <c r="P623" s="376"/>
      <c r="Q623" s="376"/>
      <c r="R623" s="376"/>
    </row>
    <row r="624" spans="15:18">
      <c r="O624" s="376"/>
      <c r="P624" s="376"/>
      <c r="Q624" s="376"/>
      <c r="R624" s="376"/>
    </row>
    <row r="625" spans="15:18">
      <c r="O625" s="376"/>
      <c r="P625" s="376"/>
      <c r="Q625" s="376"/>
      <c r="R625" s="376"/>
    </row>
    <row r="626" spans="15:18">
      <c r="O626" s="376"/>
      <c r="P626" s="376"/>
      <c r="Q626" s="376"/>
      <c r="R626" s="376"/>
    </row>
    <row r="627" spans="15:18">
      <c r="O627" s="376"/>
      <c r="P627" s="376"/>
      <c r="Q627" s="376"/>
      <c r="R627" s="376"/>
    </row>
    <row r="628" spans="15:18">
      <c r="O628" s="376"/>
      <c r="P628" s="376"/>
      <c r="Q628" s="376"/>
      <c r="R628" s="376"/>
    </row>
    <row r="629" spans="15:18">
      <c r="O629" s="376"/>
      <c r="P629" s="376"/>
      <c r="Q629" s="376"/>
      <c r="R629" s="376"/>
    </row>
    <row r="630" spans="15:18">
      <c r="O630" s="376"/>
      <c r="P630" s="376"/>
      <c r="Q630" s="376"/>
      <c r="R630" s="376"/>
    </row>
    <row r="631" spans="15:18">
      <c r="O631" s="376"/>
      <c r="P631" s="376"/>
      <c r="Q631" s="376"/>
      <c r="R631" s="376"/>
    </row>
    <row r="632" spans="15:18">
      <c r="O632" s="376"/>
      <c r="P632" s="376"/>
      <c r="Q632" s="376"/>
      <c r="R632" s="376"/>
    </row>
    <row r="633" spans="15:18">
      <c r="O633" s="376"/>
      <c r="P633" s="376"/>
      <c r="Q633" s="376"/>
      <c r="R633" s="376"/>
    </row>
    <row r="634" spans="15:18">
      <c r="O634" s="376"/>
      <c r="P634" s="376"/>
      <c r="Q634" s="376"/>
      <c r="R634" s="376"/>
    </row>
    <row r="635" spans="15:18">
      <c r="O635" s="376"/>
      <c r="P635" s="376"/>
      <c r="Q635" s="376"/>
      <c r="R635" s="376"/>
    </row>
    <row r="636" spans="15:18">
      <c r="O636" s="376"/>
      <c r="P636" s="376"/>
      <c r="Q636" s="376"/>
      <c r="R636" s="376"/>
    </row>
    <row r="637" spans="15:18">
      <c r="O637" s="376"/>
      <c r="P637" s="376"/>
      <c r="Q637" s="376"/>
      <c r="R637" s="376"/>
    </row>
    <row r="638" spans="15:18">
      <c r="O638" s="376"/>
      <c r="P638" s="376"/>
      <c r="Q638" s="376"/>
      <c r="R638" s="376"/>
    </row>
    <row r="639" spans="15:18">
      <c r="O639" s="376"/>
      <c r="P639" s="376"/>
      <c r="Q639" s="376"/>
      <c r="R639" s="376"/>
    </row>
    <row r="640" spans="15:18">
      <c r="O640" s="376"/>
      <c r="P640" s="376"/>
      <c r="Q640" s="376"/>
      <c r="R640" s="376"/>
    </row>
    <row r="641" spans="15:18">
      <c r="O641" s="376"/>
      <c r="P641" s="376"/>
      <c r="Q641" s="376"/>
      <c r="R641" s="376"/>
    </row>
    <row r="642" spans="15:18">
      <c r="O642" s="376"/>
      <c r="P642" s="376"/>
      <c r="Q642" s="376"/>
      <c r="R642" s="376"/>
    </row>
    <row r="643" spans="15:18">
      <c r="O643" s="376"/>
      <c r="P643" s="376"/>
      <c r="Q643" s="376"/>
      <c r="R643" s="376"/>
    </row>
    <row r="644" spans="15:18">
      <c r="O644" s="376"/>
      <c r="P644" s="376"/>
      <c r="Q644" s="376"/>
      <c r="R644" s="376"/>
    </row>
    <row r="645" spans="15:18">
      <c r="O645" s="376"/>
      <c r="P645" s="376"/>
      <c r="Q645" s="376"/>
      <c r="R645" s="376"/>
    </row>
    <row r="646" spans="15:18">
      <c r="O646" s="376"/>
      <c r="P646" s="376"/>
      <c r="Q646" s="376"/>
      <c r="R646" s="376"/>
    </row>
    <row r="647" spans="15:18">
      <c r="O647" s="376"/>
      <c r="P647" s="376"/>
      <c r="Q647" s="376"/>
      <c r="R647" s="376"/>
    </row>
    <row r="648" spans="15:18">
      <c r="O648" s="376"/>
      <c r="P648" s="376"/>
      <c r="Q648" s="376"/>
      <c r="R648" s="376"/>
    </row>
    <row r="649" spans="15:18">
      <c r="O649" s="376"/>
      <c r="P649" s="376"/>
      <c r="Q649" s="376"/>
      <c r="R649" s="376"/>
    </row>
    <row r="650" spans="15:18">
      <c r="O650" s="376"/>
      <c r="P650" s="376"/>
      <c r="Q650" s="376"/>
      <c r="R650" s="376"/>
    </row>
    <row r="651" spans="15:18">
      <c r="O651" s="376"/>
      <c r="P651" s="376"/>
      <c r="Q651" s="376"/>
      <c r="R651" s="376"/>
    </row>
    <row r="652" spans="15:18">
      <c r="O652" s="376"/>
      <c r="P652" s="376"/>
      <c r="Q652" s="376"/>
      <c r="R652" s="376"/>
    </row>
    <row r="653" spans="15:18">
      <c r="O653" s="376"/>
      <c r="P653" s="376"/>
      <c r="Q653" s="376"/>
      <c r="R653" s="376"/>
    </row>
    <row r="654" spans="15:18">
      <c r="O654" s="376"/>
      <c r="P654" s="376"/>
      <c r="Q654" s="376"/>
      <c r="R654" s="376"/>
    </row>
    <row r="655" spans="15:18">
      <c r="O655" s="376"/>
      <c r="P655" s="376"/>
      <c r="Q655" s="376"/>
      <c r="R655" s="376"/>
    </row>
    <row r="656" spans="15:18">
      <c r="O656" s="376"/>
      <c r="P656" s="376"/>
      <c r="Q656" s="376"/>
      <c r="R656" s="376"/>
    </row>
    <row r="657" spans="15:18">
      <c r="O657" s="376"/>
      <c r="P657" s="376"/>
      <c r="Q657" s="376"/>
      <c r="R657" s="376"/>
    </row>
    <row r="658" spans="15:18">
      <c r="O658" s="376"/>
      <c r="P658" s="376"/>
      <c r="Q658" s="376"/>
      <c r="R658" s="376"/>
    </row>
    <row r="659" spans="15:18">
      <c r="O659" s="376"/>
      <c r="P659" s="376"/>
      <c r="Q659" s="376"/>
      <c r="R659" s="376"/>
    </row>
    <row r="660" spans="15:18">
      <c r="O660" s="376"/>
      <c r="P660" s="376"/>
      <c r="Q660" s="376"/>
      <c r="R660" s="376"/>
    </row>
    <row r="661" spans="15:18">
      <c r="O661" s="376"/>
      <c r="P661" s="376"/>
      <c r="Q661" s="376"/>
      <c r="R661" s="376"/>
    </row>
    <row r="662" spans="15:18">
      <c r="O662" s="376"/>
      <c r="P662" s="376"/>
      <c r="Q662" s="376"/>
      <c r="R662" s="376"/>
    </row>
    <row r="663" spans="15:18">
      <c r="O663" s="376"/>
      <c r="P663" s="376"/>
      <c r="Q663" s="376"/>
      <c r="R663" s="376"/>
    </row>
    <row r="664" spans="15:18">
      <c r="O664" s="376"/>
      <c r="P664" s="376"/>
      <c r="Q664" s="376"/>
      <c r="R664" s="376"/>
    </row>
    <row r="665" spans="15:18">
      <c r="O665" s="376"/>
      <c r="P665" s="376"/>
      <c r="Q665" s="376"/>
      <c r="R665" s="376"/>
    </row>
    <row r="666" spans="15:18">
      <c r="O666" s="376"/>
      <c r="P666" s="376"/>
      <c r="Q666" s="376"/>
      <c r="R666" s="376"/>
    </row>
    <row r="667" spans="15:18">
      <c r="O667" s="376"/>
      <c r="P667" s="376"/>
      <c r="Q667" s="376"/>
      <c r="R667" s="376"/>
    </row>
    <row r="668" spans="15:18">
      <c r="O668" s="376"/>
      <c r="P668" s="376"/>
      <c r="Q668" s="376"/>
      <c r="R668" s="376"/>
    </row>
    <row r="669" spans="15:18">
      <c r="O669" s="376"/>
      <c r="P669" s="376"/>
      <c r="Q669" s="376"/>
      <c r="R669" s="376"/>
    </row>
    <row r="670" spans="15:18">
      <c r="O670" s="376"/>
      <c r="P670" s="376"/>
      <c r="Q670" s="376"/>
      <c r="R670" s="376"/>
    </row>
    <row r="671" spans="15:18">
      <c r="O671" s="376"/>
      <c r="P671" s="376"/>
      <c r="Q671" s="376"/>
      <c r="R671" s="376"/>
    </row>
    <row r="672" spans="15:18">
      <c r="O672" s="376"/>
      <c r="P672" s="376"/>
      <c r="Q672" s="376"/>
      <c r="R672" s="376"/>
    </row>
    <row r="673" spans="15:18">
      <c r="O673" s="376"/>
      <c r="P673" s="376"/>
      <c r="Q673" s="376"/>
      <c r="R673" s="376"/>
    </row>
    <row r="674" spans="15:18">
      <c r="O674" s="376"/>
      <c r="P674" s="376"/>
      <c r="Q674" s="376"/>
      <c r="R674" s="376"/>
    </row>
    <row r="675" spans="15:18">
      <c r="O675" s="376"/>
      <c r="P675" s="376"/>
      <c r="Q675" s="376"/>
      <c r="R675" s="376"/>
    </row>
    <row r="676" spans="15:18">
      <c r="O676" s="376"/>
      <c r="P676" s="376"/>
      <c r="Q676" s="376"/>
      <c r="R676" s="376"/>
    </row>
    <row r="677" spans="15:18">
      <c r="O677" s="376"/>
      <c r="P677" s="376"/>
      <c r="Q677" s="376"/>
      <c r="R677" s="376"/>
    </row>
    <row r="678" spans="15:18">
      <c r="O678" s="376"/>
      <c r="P678" s="376"/>
      <c r="Q678" s="376"/>
      <c r="R678" s="376"/>
    </row>
    <row r="679" spans="15:18">
      <c r="O679" s="376"/>
      <c r="P679" s="376"/>
      <c r="Q679" s="376"/>
      <c r="R679" s="376"/>
    </row>
    <row r="680" spans="15:18">
      <c r="O680" s="376"/>
      <c r="P680" s="376"/>
      <c r="Q680" s="376"/>
      <c r="R680" s="376"/>
    </row>
    <row r="681" spans="15:18">
      <c r="O681" s="376"/>
      <c r="P681" s="376"/>
      <c r="Q681" s="376"/>
      <c r="R681" s="376"/>
    </row>
    <row r="682" spans="15:18">
      <c r="O682" s="376"/>
      <c r="P682" s="376"/>
      <c r="Q682" s="376"/>
      <c r="R682" s="376"/>
    </row>
    <row r="683" spans="15:18">
      <c r="O683" s="376"/>
      <c r="P683" s="376"/>
      <c r="Q683" s="376"/>
      <c r="R683" s="376"/>
    </row>
    <row r="684" spans="15:18">
      <c r="O684" s="376"/>
      <c r="P684" s="376"/>
      <c r="Q684" s="376"/>
      <c r="R684" s="376"/>
    </row>
    <row r="685" spans="15:18">
      <c r="O685" s="376"/>
      <c r="P685" s="376"/>
      <c r="Q685" s="376"/>
      <c r="R685" s="376"/>
    </row>
    <row r="686" spans="15:18">
      <c r="O686" s="376"/>
      <c r="P686" s="376"/>
      <c r="Q686" s="376"/>
      <c r="R686" s="376"/>
    </row>
    <row r="687" spans="15:18">
      <c r="O687" s="376"/>
      <c r="P687" s="376"/>
      <c r="Q687" s="376"/>
      <c r="R687" s="376"/>
    </row>
    <row r="688" spans="15:18">
      <c r="O688" s="376"/>
      <c r="P688" s="376"/>
      <c r="Q688" s="376"/>
      <c r="R688" s="376"/>
    </row>
    <row r="689" spans="15:18">
      <c r="O689" s="376"/>
      <c r="P689" s="376"/>
      <c r="Q689" s="376"/>
      <c r="R689" s="376"/>
    </row>
    <row r="690" spans="15:18">
      <c r="O690" s="376"/>
      <c r="P690" s="376"/>
      <c r="Q690" s="376"/>
      <c r="R690" s="376"/>
    </row>
    <row r="691" spans="15:18">
      <c r="O691" s="376"/>
      <c r="P691" s="376"/>
      <c r="Q691" s="376"/>
      <c r="R691" s="376"/>
    </row>
    <row r="692" spans="15:18">
      <c r="O692" s="376"/>
      <c r="P692" s="376"/>
      <c r="Q692" s="376"/>
      <c r="R692" s="376"/>
    </row>
    <row r="693" spans="15:18">
      <c r="O693" s="376"/>
      <c r="P693" s="376"/>
      <c r="Q693" s="376"/>
      <c r="R693" s="376"/>
    </row>
    <row r="694" spans="15:18">
      <c r="O694" s="376"/>
      <c r="P694" s="376"/>
      <c r="Q694" s="376"/>
      <c r="R694" s="376"/>
    </row>
    <row r="695" spans="15:18">
      <c r="O695" s="376"/>
      <c r="P695" s="376"/>
      <c r="Q695" s="376"/>
      <c r="R695" s="376"/>
    </row>
    <row r="696" spans="15:18">
      <c r="O696" s="376"/>
      <c r="P696" s="376"/>
      <c r="Q696" s="376"/>
      <c r="R696" s="376"/>
    </row>
    <row r="697" spans="15:18">
      <c r="O697" s="376"/>
      <c r="P697" s="376"/>
      <c r="Q697" s="376"/>
      <c r="R697" s="376"/>
    </row>
    <row r="698" spans="15:18">
      <c r="O698" s="376"/>
      <c r="P698" s="376"/>
      <c r="Q698" s="376"/>
      <c r="R698" s="376"/>
    </row>
    <row r="699" spans="15:18">
      <c r="O699" s="376"/>
      <c r="P699" s="376"/>
      <c r="Q699" s="376"/>
      <c r="R699" s="376"/>
    </row>
    <row r="700" spans="15:18">
      <c r="O700" s="376"/>
      <c r="P700" s="376"/>
      <c r="Q700" s="376"/>
      <c r="R700" s="376"/>
    </row>
    <row r="701" spans="15:18">
      <c r="O701" s="376"/>
      <c r="P701" s="376"/>
      <c r="Q701" s="376"/>
      <c r="R701" s="376"/>
    </row>
    <row r="702" spans="15:18">
      <c r="O702" s="376"/>
      <c r="P702" s="376"/>
      <c r="Q702" s="376"/>
      <c r="R702" s="376"/>
    </row>
    <row r="703" spans="15:18">
      <c r="O703" s="376"/>
      <c r="P703" s="376"/>
      <c r="Q703" s="376"/>
      <c r="R703" s="376"/>
    </row>
    <row r="704" spans="15:18">
      <c r="O704" s="376"/>
      <c r="P704" s="376"/>
      <c r="Q704" s="376"/>
      <c r="R704" s="376"/>
    </row>
    <row r="705" spans="15:18">
      <c r="O705" s="376"/>
      <c r="P705" s="376"/>
      <c r="Q705" s="376"/>
      <c r="R705" s="376"/>
    </row>
    <row r="706" spans="15:18">
      <c r="O706" s="376"/>
      <c r="P706" s="376"/>
      <c r="Q706" s="376"/>
      <c r="R706" s="376"/>
    </row>
    <row r="707" spans="15:18">
      <c r="O707" s="376"/>
      <c r="P707" s="376"/>
      <c r="Q707" s="376"/>
      <c r="R707" s="376"/>
    </row>
    <row r="708" spans="15:18">
      <c r="O708" s="376"/>
      <c r="P708" s="376"/>
      <c r="Q708" s="376"/>
      <c r="R708" s="376"/>
    </row>
    <row r="709" spans="15:18">
      <c r="O709" s="376"/>
      <c r="P709" s="376"/>
      <c r="Q709" s="376"/>
      <c r="R709" s="376"/>
    </row>
    <row r="710" spans="15:18">
      <c r="O710" s="376"/>
      <c r="P710" s="376"/>
      <c r="Q710" s="376"/>
      <c r="R710" s="376"/>
    </row>
    <row r="711" spans="15:18">
      <c r="O711" s="376"/>
      <c r="P711" s="376"/>
      <c r="Q711" s="376"/>
      <c r="R711" s="376"/>
    </row>
    <row r="712" spans="15:18">
      <c r="O712" s="376"/>
      <c r="P712" s="376"/>
      <c r="Q712" s="376"/>
      <c r="R712" s="376"/>
    </row>
    <row r="713" spans="15:18">
      <c r="O713" s="376"/>
      <c r="P713" s="376"/>
      <c r="Q713" s="376"/>
      <c r="R713" s="376"/>
    </row>
    <row r="714" spans="15:18">
      <c r="O714" s="376"/>
      <c r="P714" s="376"/>
      <c r="Q714" s="376"/>
      <c r="R714" s="376"/>
    </row>
    <row r="715" spans="15:18">
      <c r="O715" s="376"/>
      <c r="P715" s="376"/>
      <c r="Q715" s="376"/>
      <c r="R715" s="376"/>
    </row>
    <row r="716" spans="15:18">
      <c r="O716" s="376"/>
      <c r="P716" s="376"/>
      <c r="Q716" s="376"/>
      <c r="R716" s="376"/>
    </row>
    <row r="717" spans="15:18">
      <c r="O717" s="376"/>
      <c r="P717" s="376"/>
      <c r="Q717" s="376"/>
      <c r="R717" s="376"/>
    </row>
    <row r="718" spans="15:18">
      <c r="O718" s="376"/>
      <c r="P718" s="376"/>
      <c r="Q718" s="376"/>
      <c r="R718" s="376"/>
    </row>
    <row r="719" spans="15:18">
      <c r="O719" s="376"/>
      <c r="P719" s="376"/>
      <c r="Q719" s="376"/>
      <c r="R719" s="376"/>
    </row>
    <row r="720" spans="15:18">
      <c r="O720" s="376"/>
      <c r="P720" s="376"/>
      <c r="Q720" s="376"/>
      <c r="R720" s="376"/>
    </row>
    <row r="721" spans="15:18">
      <c r="O721" s="376"/>
      <c r="P721" s="376"/>
      <c r="Q721" s="376"/>
      <c r="R721" s="376"/>
    </row>
    <row r="722" spans="15:18">
      <c r="O722" s="376"/>
      <c r="P722" s="376"/>
      <c r="Q722" s="376"/>
      <c r="R722" s="376"/>
    </row>
    <row r="723" spans="15:18">
      <c r="O723" s="376"/>
      <c r="P723" s="376"/>
      <c r="Q723" s="376"/>
      <c r="R723" s="376"/>
    </row>
    <row r="724" spans="15:18">
      <c r="O724" s="376"/>
      <c r="P724" s="376"/>
      <c r="Q724" s="376"/>
      <c r="R724" s="376"/>
    </row>
    <row r="725" spans="15:18">
      <c r="O725" s="376"/>
      <c r="P725" s="376"/>
      <c r="Q725" s="376"/>
      <c r="R725" s="376"/>
    </row>
    <row r="726" spans="15:18">
      <c r="O726" s="376"/>
      <c r="P726" s="376"/>
      <c r="Q726" s="376"/>
      <c r="R726" s="376"/>
    </row>
    <row r="727" spans="15:18">
      <c r="O727" s="376"/>
      <c r="P727" s="376"/>
      <c r="Q727" s="376"/>
      <c r="R727" s="376"/>
    </row>
    <row r="728" spans="15:18">
      <c r="O728" s="376"/>
      <c r="P728" s="376"/>
      <c r="Q728" s="376"/>
      <c r="R728" s="376"/>
    </row>
    <row r="729" spans="15:18">
      <c r="O729" s="376"/>
      <c r="P729" s="376"/>
      <c r="Q729" s="376"/>
      <c r="R729" s="376"/>
    </row>
    <row r="730" spans="15:18">
      <c r="O730" s="376"/>
      <c r="P730" s="376"/>
      <c r="Q730" s="376"/>
      <c r="R730" s="376"/>
    </row>
    <row r="731" spans="15:18">
      <c r="O731" s="376"/>
      <c r="P731" s="376"/>
      <c r="Q731" s="376"/>
      <c r="R731" s="376"/>
    </row>
    <row r="732" spans="15:18">
      <c r="O732" s="376"/>
      <c r="P732" s="376"/>
      <c r="Q732" s="376"/>
      <c r="R732" s="376"/>
    </row>
    <row r="733" spans="15:18">
      <c r="O733" s="376"/>
      <c r="P733" s="376"/>
      <c r="Q733" s="376"/>
      <c r="R733" s="376"/>
    </row>
    <row r="734" spans="15:18">
      <c r="O734" s="376"/>
      <c r="P734" s="376"/>
      <c r="Q734" s="376"/>
      <c r="R734" s="376"/>
    </row>
    <row r="735" spans="15:18">
      <c r="O735" s="376"/>
      <c r="P735" s="376"/>
      <c r="Q735" s="376"/>
      <c r="R735" s="376"/>
    </row>
    <row r="736" spans="15:18">
      <c r="O736" s="376"/>
      <c r="P736" s="376"/>
      <c r="Q736" s="376"/>
      <c r="R736" s="376"/>
    </row>
    <row r="737" spans="15:18">
      <c r="O737" s="376"/>
      <c r="P737" s="376"/>
      <c r="Q737" s="376"/>
      <c r="R737" s="376"/>
    </row>
    <row r="738" spans="15:18">
      <c r="O738" s="376"/>
      <c r="P738" s="376"/>
      <c r="Q738" s="376"/>
      <c r="R738" s="376"/>
    </row>
    <row r="739" spans="15:18">
      <c r="O739" s="376"/>
      <c r="P739" s="376"/>
      <c r="Q739" s="376"/>
      <c r="R739" s="376"/>
    </row>
    <row r="740" spans="15:18">
      <c r="O740" s="376"/>
      <c r="P740" s="376"/>
      <c r="Q740" s="376"/>
      <c r="R740" s="376"/>
    </row>
    <row r="741" spans="15:18">
      <c r="O741" s="376"/>
      <c r="P741" s="376"/>
      <c r="Q741" s="376"/>
      <c r="R741" s="376"/>
    </row>
    <row r="742" spans="15:18">
      <c r="O742" s="376"/>
      <c r="P742" s="376"/>
      <c r="Q742" s="376"/>
      <c r="R742" s="376"/>
    </row>
    <row r="743" spans="15:18">
      <c r="O743" s="376"/>
      <c r="P743" s="376"/>
      <c r="Q743" s="376"/>
      <c r="R743" s="376"/>
    </row>
    <row r="744" spans="15:18">
      <c r="O744" s="376"/>
      <c r="P744" s="376"/>
      <c r="Q744" s="376"/>
      <c r="R744" s="376"/>
    </row>
    <row r="745" spans="15:18">
      <c r="O745" s="376"/>
      <c r="P745" s="376"/>
      <c r="Q745" s="376"/>
      <c r="R745" s="376"/>
    </row>
    <row r="746" spans="15:18">
      <c r="O746" s="376"/>
      <c r="P746" s="376"/>
      <c r="Q746" s="376"/>
      <c r="R746" s="376"/>
    </row>
    <row r="747" spans="15:18">
      <c r="O747" s="376"/>
      <c r="P747" s="376"/>
      <c r="Q747" s="376"/>
      <c r="R747" s="376"/>
    </row>
    <row r="748" spans="15:18">
      <c r="O748" s="376"/>
      <c r="P748" s="376"/>
      <c r="Q748" s="376"/>
      <c r="R748" s="376"/>
    </row>
    <row r="749" spans="15:18">
      <c r="O749" s="376"/>
      <c r="P749" s="376"/>
      <c r="Q749" s="376"/>
      <c r="R749" s="376"/>
    </row>
    <row r="750" spans="15:18">
      <c r="O750" s="376"/>
      <c r="P750" s="376"/>
      <c r="Q750" s="376"/>
      <c r="R750" s="376"/>
    </row>
    <row r="751" spans="15:18">
      <c r="O751" s="376"/>
      <c r="P751" s="376"/>
      <c r="Q751" s="376"/>
      <c r="R751" s="376"/>
    </row>
    <row r="752" spans="15:18">
      <c r="O752" s="376"/>
      <c r="P752" s="376"/>
      <c r="Q752" s="376"/>
      <c r="R752" s="376"/>
    </row>
    <row r="753" spans="15:18">
      <c r="O753" s="376"/>
      <c r="P753" s="376"/>
      <c r="Q753" s="376"/>
      <c r="R753" s="376"/>
    </row>
    <row r="754" spans="15:18">
      <c r="O754" s="376"/>
      <c r="P754" s="376"/>
      <c r="Q754" s="376"/>
      <c r="R754" s="376"/>
    </row>
    <row r="755" spans="15:18">
      <c r="O755" s="376"/>
      <c r="P755" s="376"/>
      <c r="Q755" s="376"/>
      <c r="R755" s="376"/>
    </row>
    <row r="756" spans="15:18">
      <c r="O756" s="376"/>
      <c r="P756" s="376"/>
      <c r="Q756" s="376"/>
      <c r="R756" s="376"/>
    </row>
    <row r="757" spans="15:18">
      <c r="O757" s="376"/>
      <c r="P757" s="376"/>
      <c r="Q757" s="376"/>
      <c r="R757" s="376"/>
    </row>
    <row r="758" spans="15:18">
      <c r="O758" s="376"/>
      <c r="P758" s="376"/>
      <c r="Q758" s="376"/>
      <c r="R758" s="376"/>
    </row>
    <row r="759" spans="15:18">
      <c r="O759" s="376"/>
      <c r="P759" s="376"/>
      <c r="Q759" s="376"/>
      <c r="R759" s="376"/>
    </row>
    <row r="760" spans="15:18">
      <c r="O760" s="376"/>
      <c r="P760" s="376"/>
      <c r="Q760" s="376"/>
      <c r="R760" s="376"/>
    </row>
    <row r="761" spans="15:18">
      <c r="O761" s="376"/>
      <c r="P761" s="376"/>
      <c r="Q761" s="376"/>
      <c r="R761" s="376"/>
    </row>
    <row r="762" spans="15:18">
      <c r="O762" s="376"/>
      <c r="P762" s="376"/>
      <c r="Q762" s="376"/>
      <c r="R762" s="376"/>
    </row>
    <row r="763" spans="15:18">
      <c r="O763" s="376"/>
      <c r="P763" s="376"/>
      <c r="Q763" s="376"/>
      <c r="R763" s="376"/>
    </row>
    <row r="764" spans="15:18">
      <c r="O764" s="376"/>
      <c r="P764" s="376"/>
      <c r="Q764" s="376"/>
      <c r="R764" s="376"/>
    </row>
    <row r="765" spans="15:18">
      <c r="O765" s="376"/>
      <c r="P765" s="376"/>
      <c r="Q765" s="376"/>
      <c r="R765" s="376"/>
    </row>
    <row r="766" spans="15:18">
      <c r="O766" s="376"/>
      <c r="P766" s="376"/>
      <c r="Q766" s="376"/>
      <c r="R766" s="376"/>
    </row>
    <row r="767" spans="15:18">
      <c r="O767" s="376"/>
      <c r="P767" s="376"/>
      <c r="Q767" s="376"/>
      <c r="R767" s="376"/>
    </row>
    <row r="768" spans="15:18">
      <c r="O768" s="376"/>
      <c r="P768" s="376"/>
      <c r="Q768" s="376"/>
      <c r="R768" s="376"/>
    </row>
    <row r="769" spans="15:18">
      <c r="O769" s="376"/>
      <c r="P769" s="376"/>
      <c r="Q769" s="376"/>
      <c r="R769" s="376"/>
    </row>
    <row r="770" spans="15:18">
      <c r="O770" s="376"/>
      <c r="P770" s="376"/>
      <c r="Q770" s="376"/>
      <c r="R770" s="376"/>
    </row>
    <row r="771" spans="15:18">
      <c r="O771" s="376"/>
      <c r="P771" s="376"/>
      <c r="Q771" s="376"/>
      <c r="R771" s="376"/>
    </row>
    <row r="772" spans="15:18">
      <c r="O772" s="376"/>
      <c r="P772" s="376"/>
      <c r="Q772" s="376"/>
      <c r="R772" s="376"/>
    </row>
    <row r="773" spans="15:18">
      <c r="O773" s="376"/>
      <c r="P773" s="376"/>
      <c r="Q773" s="376"/>
      <c r="R773" s="376"/>
    </row>
    <row r="774" spans="15:18">
      <c r="O774" s="376"/>
      <c r="P774" s="376"/>
      <c r="Q774" s="376"/>
      <c r="R774" s="376"/>
    </row>
    <row r="775" spans="15:18">
      <c r="O775" s="376"/>
      <c r="P775" s="376"/>
      <c r="Q775" s="376"/>
      <c r="R775" s="376"/>
    </row>
    <row r="776" spans="15:18">
      <c r="O776" s="376"/>
      <c r="P776" s="376"/>
      <c r="Q776" s="376"/>
      <c r="R776" s="376"/>
    </row>
    <row r="777" spans="15:18">
      <c r="O777" s="376"/>
      <c r="P777" s="376"/>
      <c r="Q777" s="376"/>
      <c r="R777" s="376"/>
    </row>
    <row r="778" spans="15:18">
      <c r="O778" s="376"/>
      <c r="P778" s="376"/>
      <c r="Q778" s="376"/>
      <c r="R778" s="376"/>
    </row>
    <row r="779" spans="15:18">
      <c r="O779" s="376"/>
      <c r="P779" s="376"/>
      <c r="Q779" s="376"/>
      <c r="R779" s="376"/>
    </row>
    <row r="780" spans="15:18">
      <c r="O780" s="376"/>
      <c r="P780" s="376"/>
      <c r="Q780" s="376"/>
      <c r="R780" s="376"/>
    </row>
    <row r="781" spans="15:18">
      <c r="O781" s="376"/>
      <c r="P781" s="376"/>
      <c r="Q781" s="376"/>
      <c r="R781" s="376"/>
    </row>
    <row r="782" spans="15:18">
      <c r="O782" s="376"/>
      <c r="P782" s="376"/>
      <c r="Q782" s="376"/>
      <c r="R782" s="376"/>
    </row>
    <row r="783" spans="15:18">
      <c r="O783" s="376"/>
      <c r="P783" s="376"/>
      <c r="Q783" s="376"/>
      <c r="R783" s="376"/>
    </row>
    <row r="784" spans="15:18">
      <c r="O784" s="376"/>
      <c r="P784" s="376"/>
      <c r="Q784" s="376"/>
      <c r="R784" s="376"/>
    </row>
    <row r="785" spans="15:18">
      <c r="O785" s="376"/>
      <c r="P785" s="376"/>
      <c r="Q785" s="376"/>
      <c r="R785" s="376"/>
    </row>
    <row r="786" spans="15:18">
      <c r="O786" s="376"/>
      <c r="P786" s="376"/>
      <c r="Q786" s="376"/>
      <c r="R786" s="376"/>
    </row>
    <row r="787" spans="15:18">
      <c r="O787" s="376"/>
      <c r="P787" s="376"/>
      <c r="Q787" s="376"/>
      <c r="R787" s="376"/>
    </row>
    <row r="788" spans="15:18">
      <c r="O788" s="376"/>
      <c r="P788" s="376"/>
      <c r="Q788" s="376"/>
      <c r="R788" s="376"/>
    </row>
    <row r="789" spans="15:18">
      <c r="O789" s="376"/>
      <c r="P789" s="376"/>
      <c r="Q789" s="376"/>
      <c r="R789" s="376"/>
    </row>
    <row r="790" spans="15:18">
      <c r="O790" s="376"/>
      <c r="P790" s="376"/>
      <c r="Q790" s="376"/>
      <c r="R790" s="376"/>
    </row>
    <row r="791" spans="15:18">
      <c r="O791" s="376"/>
      <c r="P791" s="376"/>
      <c r="Q791" s="376"/>
      <c r="R791" s="376"/>
    </row>
    <row r="792" spans="15:18">
      <c r="O792" s="376"/>
      <c r="P792" s="376"/>
      <c r="Q792" s="376"/>
      <c r="R792" s="376"/>
    </row>
    <row r="793" spans="15:18">
      <c r="O793" s="376"/>
      <c r="P793" s="376"/>
      <c r="Q793" s="376"/>
      <c r="R793" s="376"/>
    </row>
    <row r="794" spans="15:18">
      <c r="O794" s="376"/>
      <c r="P794" s="376"/>
      <c r="Q794" s="376"/>
      <c r="R794" s="376"/>
    </row>
    <row r="795" spans="15:18">
      <c r="O795" s="376"/>
      <c r="P795" s="376"/>
      <c r="Q795" s="376"/>
      <c r="R795" s="376"/>
    </row>
    <row r="796" spans="15:18">
      <c r="O796" s="376"/>
      <c r="P796" s="376"/>
      <c r="Q796" s="376"/>
      <c r="R796" s="376"/>
    </row>
    <row r="797" spans="15:18">
      <c r="O797" s="376"/>
      <c r="P797" s="376"/>
      <c r="Q797" s="376"/>
      <c r="R797" s="376"/>
    </row>
    <row r="798" spans="15:18">
      <c r="O798" s="376"/>
      <c r="P798" s="376"/>
      <c r="Q798" s="376"/>
      <c r="R798" s="376"/>
    </row>
    <row r="799" spans="15:18">
      <c r="O799" s="376"/>
      <c r="P799" s="376"/>
      <c r="Q799" s="376"/>
      <c r="R799" s="376"/>
    </row>
    <row r="800" spans="15:18">
      <c r="O800" s="376"/>
      <c r="P800" s="376"/>
      <c r="Q800" s="376"/>
      <c r="R800" s="376"/>
    </row>
    <row r="801" spans="15:18">
      <c r="O801" s="376"/>
      <c r="P801" s="376"/>
      <c r="Q801" s="376"/>
      <c r="R801" s="376"/>
    </row>
    <row r="802" spans="15:18">
      <c r="O802" s="376"/>
      <c r="P802" s="376"/>
      <c r="Q802" s="376"/>
      <c r="R802" s="376"/>
    </row>
    <row r="803" spans="15:18">
      <c r="O803" s="376"/>
      <c r="P803" s="376"/>
      <c r="Q803" s="376"/>
      <c r="R803" s="376"/>
    </row>
    <row r="804" spans="15:18">
      <c r="O804" s="376"/>
      <c r="P804" s="376"/>
      <c r="Q804" s="376"/>
      <c r="R804" s="376"/>
    </row>
    <row r="805" spans="15:18">
      <c r="O805" s="376"/>
      <c r="P805" s="376"/>
      <c r="Q805" s="376"/>
      <c r="R805" s="376"/>
    </row>
    <row r="806" spans="15:18">
      <c r="O806" s="376"/>
      <c r="P806" s="376"/>
      <c r="Q806" s="376"/>
      <c r="R806" s="376"/>
    </row>
    <row r="807" spans="15:18">
      <c r="O807" s="376"/>
      <c r="P807" s="376"/>
      <c r="Q807" s="376"/>
      <c r="R807" s="376"/>
    </row>
    <row r="808" spans="15:18">
      <c r="O808" s="376"/>
      <c r="P808" s="376"/>
      <c r="Q808" s="376"/>
      <c r="R808" s="376"/>
    </row>
    <row r="809" spans="15:18">
      <c r="O809" s="376"/>
      <c r="P809" s="376"/>
      <c r="Q809" s="376"/>
      <c r="R809" s="376"/>
    </row>
    <row r="810" spans="15:18">
      <c r="O810" s="376"/>
      <c r="P810" s="376"/>
      <c r="Q810" s="376"/>
      <c r="R810" s="376"/>
    </row>
    <row r="811" spans="15:18">
      <c r="O811" s="376"/>
      <c r="P811" s="376"/>
      <c r="Q811" s="376"/>
      <c r="R811" s="376"/>
    </row>
    <row r="812" spans="15:18">
      <c r="O812" s="376"/>
      <c r="P812" s="376"/>
      <c r="Q812" s="376"/>
      <c r="R812" s="376"/>
    </row>
    <row r="813" spans="15:18">
      <c r="O813" s="376"/>
      <c r="P813" s="376"/>
      <c r="Q813" s="376"/>
      <c r="R813" s="376"/>
    </row>
    <row r="814" spans="15:18">
      <c r="O814" s="376"/>
      <c r="P814" s="376"/>
      <c r="Q814" s="376"/>
      <c r="R814" s="376"/>
    </row>
    <row r="815" spans="15:18">
      <c r="O815" s="376"/>
      <c r="P815" s="376"/>
      <c r="Q815" s="376"/>
      <c r="R815" s="376"/>
    </row>
    <row r="816" spans="15:18">
      <c r="O816" s="376"/>
      <c r="P816" s="376"/>
      <c r="Q816" s="376"/>
      <c r="R816" s="376"/>
    </row>
    <row r="817" spans="15:18">
      <c r="O817" s="376"/>
      <c r="P817" s="376"/>
      <c r="Q817" s="376"/>
      <c r="R817" s="376"/>
    </row>
    <row r="818" spans="15:18">
      <c r="O818" s="376"/>
      <c r="P818" s="376"/>
      <c r="Q818" s="376"/>
      <c r="R818" s="376"/>
    </row>
    <row r="819" spans="15:18">
      <c r="O819" s="376"/>
      <c r="P819" s="376"/>
      <c r="Q819" s="376"/>
      <c r="R819" s="376"/>
    </row>
    <row r="820" spans="15:18">
      <c r="O820" s="376"/>
      <c r="P820" s="376"/>
      <c r="Q820" s="376"/>
      <c r="R820" s="376"/>
    </row>
    <row r="821" spans="15:18">
      <c r="O821" s="376"/>
      <c r="P821" s="376"/>
      <c r="Q821" s="376"/>
      <c r="R821" s="376"/>
    </row>
    <row r="822" spans="15:18">
      <c r="O822" s="376"/>
      <c r="P822" s="376"/>
      <c r="Q822" s="376"/>
      <c r="R822" s="376"/>
    </row>
    <row r="823" spans="15:18">
      <c r="O823" s="376"/>
      <c r="P823" s="376"/>
      <c r="Q823" s="376"/>
      <c r="R823" s="376"/>
    </row>
    <row r="824" spans="15:18">
      <c r="O824" s="376"/>
      <c r="P824" s="376"/>
      <c r="Q824" s="376"/>
      <c r="R824" s="376"/>
    </row>
    <row r="825" spans="15:18">
      <c r="O825" s="376"/>
      <c r="P825" s="376"/>
      <c r="Q825" s="376"/>
      <c r="R825" s="376"/>
    </row>
    <row r="826" spans="15:18">
      <c r="O826" s="376"/>
      <c r="P826" s="376"/>
      <c r="Q826" s="376"/>
      <c r="R826" s="376"/>
    </row>
    <row r="827" spans="15:18">
      <c r="O827" s="376"/>
      <c r="P827" s="376"/>
      <c r="Q827" s="376"/>
      <c r="R827" s="376"/>
    </row>
    <row r="828" spans="15:18">
      <c r="O828" s="376"/>
      <c r="P828" s="376"/>
      <c r="Q828" s="376"/>
      <c r="R828" s="376"/>
    </row>
    <row r="829" spans="15:18">
      <c r="O829" s="376"/>
      <c r="P829" s="376"/>
      <c r="Q829" s="376"/>
      <c r="R829" s="376"/>
    </row>
    <row r="830" spans="15:18">
      <c r="O830" s="376"/>
      <c r="P830" s="376"/>
      <c r="Q830" s="376"/>
      <c r="R830" s="376"/>
    </row>
    <row r="831" spans="15:18">
      <c r="O831" s="376"/>
      <c r="P831" s="376"/>
      <c r="Q831" s="376"/>
      <c r="R831" s="376"/>
    </row>
    <row r="832" spans="15:18">
      <c r="O832" s="376"/>
      <c r="P832" s="376"/>
      <c r="Q832" s="376"/>
      <c r="R832" s="376"/>
    </row>
    <row r="833" spans="15:18">
      <c r="O833" s="376"/>
      <c r="P833" s="376"/>
      <c r="Q833" s="376"/>
      <c r="R833" s="376"/>
    </row>
    <row r="834" spans="15:18">
      <c r="O834" s="376"/>
      <c r="P834" s="376"/>
      <c r="Q834" s="376"/>
      <c r="R834" s="376"/>
    </row>
    <row r="835" spans="15:18">
      <c r="O835" s="376"/>
      <c r="P835" s="376"/>
      <c r="Q835" s="376"/>
      <c r="R835" s="376"/>
    </row>
    <row r="836" spans="15:18">
      <c r="O836" s="376"/>
      <c r="P836" s="376"/>
      <c r="Q836" s="376"/>
      <c r="R836" s="376"/>
    </row>
    <row r="837" spans="15:18">
      <c r="O837" s="376"/>
      <c r="P837" s="376"/>
      <c r="Q837" s="376"/>
      <c r="R837" s="376"/>
    </row>
    <row r="838" spans="15:18">
      <c r="O838" s="376"/>
      <c r="P838" s="376"/>
      <c r="Q838" s="376"/>
      <c r="R838" s="376"/>
    </row>
    <row r="839" spans="15:18">
      <c r="O839" s="376"/>
      <c r="P839" s="376"/>
      <c r="Q839" s="376"/>
      <c r="R839" s="376"/>
    </row>
    <row r="840" spans="15:18">
      <c r="O840" s="376"/>
      <c r="P840" s="376"/>
      <c r="Q840" s="376"/>
      <c r="R840" s="376"/>
    </row>
    <row r="841" spans="15:18">
      <c r="O841" s="376"/>
      <c r="P841" s="376"/>
      <c r="Q841" s="376"/>
      <c r="R841" s="376"/>
    </row>
    <row r="842" spans="15:18">
      <c r="O842" s="376"/>
      <c r="P842" s="376"/>
      <c r="Q842" s="376"/>
      <c r="R842" s="376"/>
    </row>
    <row r="843" spans="15:18">
      <c r="O843" s="376"/>
      <c r="P843" s="376"/>
      <c r="Q843" s="376"/>
      <c r="R843" s="376"/>
    </row>
    <row r="844" spans="15:18">
      <c r="O844" s="376"/>
      <c r="P844" s="376"/>
      <c r="Q844" s="376"/>
      <c r="R844" s="376"/>
    </row>
    <row r="845" spans="15:18">
      <c r="O845" s="376"/>
      <c r="P845" s="376"/>
      <c r="Q845" s="376"/>
      <c r="R845" s="376"/>
    </row>
    <row r="846" spans="15:18">
      <c r="O846" s="376"/>
      <c r="P846" s="376"/>
      <c r="Q846" s="376"/>
      <c r="R846" s="376"/>
    </row>
    <row r="847" spans="15:18">
      <c r="O847" s="376"/>
      <c r="P847" s="376"/>
      <c r="Q847" s="376"/>
      <c r="R847" s="376"/>
    </row>
    <row r="848" spans="15:18">
      <c r="O848" s="376"/>
      <c r="P848" s="376"/>
      <c r="Q848" s="376"/>
      <c r="R848" s="376"/>
    </row>
    <row r="849" spans="15:18">
      <c r="O849" s="376"/>
      <c r="P849" s="376"/>
      <c r="Q849" s="376"/>
      <c r="R849" s="376"/>
    </row>
    <row r="850" spans="15:18">
      <c r="O850" s="376"/>
      <c r="P850" s="376"/>
      <c r="Q850" s="376"/>
      <c r="R850" s="376"/>
    </row>
    <row r="851" spans="15:18">
      <c r="O851" s="376"/>
      <c r="P851" s="376"/>
      <c r="Q851" s="376"/>
      <c r="R851" s="376"/>
    </row>
    <row r="852" spans="15:18">
      <c r="O852" s="376"/>
      <c r="P852" s="376"/>
      <c r="Q852" s="376"/>
      <c r="R852" s="376"/>
    </row>
    <row r="853" spans="15:18">
      <c r="O853" s="376"/>
      <c r="P853" s="376"/>
      <c r="Q853" s="376"/>
      <c r="R853" s="376"/>
    </row>
    <row r="854" spans="15:18">
      <c r="O854" s="376"/>
      <c r="P854" s="376"/>
      <c r="Q854" s="376"/>
      <c r="R854" s="376"/>
    </row>
    <row r="855" spans="15:18">
      <c r="O855" s="376"/>
      <c r="P855" s="376"/>
      <c r="Q855" s="376"/>
      <c r="R855" s="376"/>
    </row>
    <row r="856" spans="15:18">
      <c r="O856" s="376"/>
      <c r="P856" s="376"/>
      <c r="Q856" s="376"/>
      <c r="R856" s="376"/>
    </row>
    <row r="857" spans="15:18">
      <c r="O857" s="376"/>
      <c r="P857" s="376"/>
      <c r="Q857" s="376"/>
      <c r="R857" s="376"/>
    </row>
    <row r="858" spans="15:18">
      <c r="O858" s="376"/>
      <c r="P858" s="376"/>
      <c r="Q858" s="376"/>
      <c r="R858" s="376"/>
    </row>
    <row r="859" spans="15:18">
      <c r="O859" s="376"/>
      <c r="P859" s="376"/>
      <c r="Q859" s="376"/>
      <c r="R859" s="376"/>
    </row>
    <row r="860" spans="15:18">
      <c r="O860" s="376"/>
      <c r="P860" s="376"/>
      <c r="Q860" s="376"/>
      <c r="R860" s="376"/>
    </row>
    <row r="861" spans="15:18">
      <c r="O861" s="376"/>
      <c r="P861" s="376"/>
      <c r="Q861" s="376"/>
      <c r="R861" s="376"/>
    </row>
    <row r="862" spans="15:18">
      <c r="O862" s="376"/>
      <c r="P862" s="376"/>
      <c r="Q862" s="376"/>
      <c r="R862" s="376"/>
    </row>
    <row r="863" spans="15:18">
      <c r="O863" s="376"/>
      <c r="P863" s="376"/>
      <c r="Q863" s="376"/>
      <c r="R863" s="376"/>
    </row>
    <row r="864" spans="15:18">
      <c r="O864" s="376"/>
      <c r="P864" s="376"/>
      <c r="Q864" s="376"/>
      <c r="R864" s="376"/>
    </row>
    <row r="865" spans="15:18">
      <c r="O865" s="376"/>
      <c r="P865" s="376"/>
      <c r="Q865" s="376"/>
      <c r="R865" s="376"/>
    </row>
    <row r="866" spans="15:18">
      <c r="O866" s="376"/>
      <c r="P866" s="376"/>
      <c r="Q866" s="376"/>
      <c r="R866" s="376"/>
    </row>
    <row r="867" spans="15:18">
      <c r="O867" s="376"/>
      <c r="P867" s="376"/>
      <c r="Q867" s="376"/>
      <c r="R867" s="376"/>
    </row>
    <row r="868" spans="15:18">
      <c r="O868" s="376"/>
      <c r="P868" s="376"/>
      <c r="Q868" s="376"/>
      <c r="R868" s="376"/>
    </row>
    <row r="869" spans="15:18">
      <c r="O869" s="376"/>
      <c r="P869" s="376"/>
      <c r="Q869" s="376"/>
      <c r="R869" s="376"/>
    </row>
    <row r="870" spans="15:18">
      <c r="O870" s="376"/>
      <c r="P870" s="376"/>
      <c r="Q870" s="376"/>
      <c r="R870" s="376"/>
    </row>
    <row r="871" spans="15:18">
      <c r="O871" s="376"/>
      <c r="P871" s="376"/>
      <c r="Q871" s="376"/>
      <c r="R871" s="376"/>
    </row>
    <row r="872" spans="15:18">
      <c r="O872" s="376"/>
      <c r="P872" s="376"/>
      <c r="Q872" s="376"/>
      <c r="R872" s="376"/>
    </row>
    <row r="873" spans="15:18">
      <c r="O873" s="376"/>
      <c r="P873" s="376"/>
      <c r="Q873" s="376"/>
      <c r="R873" s="376"/>
    </row>
    <row r="874" spans="15:18">
      <c r="O874" s="376"/>
      <c r="P874" s="376"/>
      <c r="Q874" s="376"/>
      <c r="R874" s="376"/>
    </row>
    <row r="875" spans="15:18">
      <c r="O875" s="376"/>
      <c r="P875" s="376"/>
      <c r="Q875" s="376"/>
      <c r="R875" s="376"/>
    </row>
    <row r="876" spans="15:18">
      <c r="O876" s="376"/>
      <c r="P876" s="376"/>
      <c r="Q876" s="376"/>
      <c r="R876" s="376"/>
    </row>
    <row r="877" spans="15:18">
      <c r="O877" s="376"/>
      <c r="P877" s="376"/>
      <c r="Q877" s="376"/>
      <c r="R877" s="376"/>
    </row>
    <row r="878" spans="15:18">
      <c r="O878" s="376"/>
      <c r="P878" s="376"/>
      <c r="Q878" s="376"/>
      <c r="R878" s="376"/>
    </row>
    <row r="879" spans="15:18">
      <c r="O879" s="376"/>
      <c r="P879" s="376"/>
      <c r="Q879" s="376"/>
      <c r="R879" s="376"/>
    </row>
    <row r="880" spans="15:18">
      <c r="O880" s="376"/>
      <c r="P880" s="376"/>
      <c r="Q880" s="376"/>
      <c r="R880" s="376"/>
    </row>
    <row r="881" spans="15:18">
      <c r="O881" s="376"/>
      <c r="P881" s="376"/>
      <c r="Q881" s="376"/>
      <c r="R881" s="376"/>
    </row>
    <row r="882" spans="15:18">
      <c r="O882" s="376"/>
      <c r="P882" s="376"/>
      <c r="Q882" s="376"/>
      <c r="R882" s="376"/>
    </row>
    <row r="883" spans="15:18">
      <c r="O883" s="376"/>
      <c r="P883" s="376"/>
      <c r="Q883" s="376"/>
      <c r="R883" s="376"/>
    </row>
    <row r="884" spans="15:18">
      <c r="O884" s="376"/>
      <c r="P884" s="376"/>
      <c r="Q884" s="376"/>
      <c r="R884" s="376"/>
    </row>
    <row r="885" spans="15:18">
      <c r="O885" s="376"/>
      <c r="P885" s="376"/>
      <c r="Q885" s="376"/>
      <c r="R885" s="376"/>
    </row>
    <row r="886" spans="15:18">
      <c r="O886" s="376"/>
      <c r="P886" s="376"/>
      <c r="Q886" s="376"/>
      <c r="R886" s="376"/>
    </row>
    <row r="887" spans="15:18">
      <c r="O887" s="376"/>
      <c r="P887" s="376"/>
      <c r="Q887" s="376"/>
      <c r="R887" s="376"/>
    </row>
    <row r="888" spans="15:18">
      <c r="O888" s="376"/>
      <c r="P888" s="376"/>
      <c r="Q888" s="376"/>
      <c r="R888" s="376"/>
    </row>
    <row r="889" spans="15:18">
      <c r="O889" s="376"/>
      <c r="P889" s="376"/>
      <c r="Q889" s="376"/>
      <c r="R889" s="376"/>
    </row>
    <row r="890" spans="15:18">
      <c r="O890" s="376"/>
      <c r="P890" s="376"/>
      <c r="Q890" s="376"/>
      <c r="R890" s="376"/>
    </row>
    <row r="891" spans="15:18">
      <c r="O891" s="376"/>
      <c r="P891" s="376"/>
      <c r="Q891" s="376"/>
      <c r="R891" s="376"/>
    </row>
    <row r="892" spans="15:18">
      <c r="O892" s="376"/>
      <c r="P892" s="376"/>
      <c r="Q892" s="376"/>
      <c r="R892" s="376"/>
    </row>
    <row r="893" spans="15:18">
      <c r="O893" s="376"/>
      <c r="P893" s="376"/>
      <c r="Q893" s="376"/>
      <c r="R893" s="376"/>
    </row>
    <row r="894" spans="15:18">
      <c r="O894" s="376"/>
      <c r="P894" s="376"/>
      <c r="Q894" s="376"/>
      <c r="R894" s="376"/>
    </row>
    <row r="895" spans="15:18">
      <c r="O895" s="376"/>
      <c r="P895" s="376"/>
      <c r="Q895" s="376"/>
      <c r="R895" s="376"/>
    </row>
    <row r="896" spans="15:18">
      <c r="O896" s="376"/>
      <c r="P896" s="376"/>
      <c r="Q896" s="376"/>
      <c r="R896" s="376"/>
    </row>
    <row r="897" spans="15:18">
      <c r="O897" s="376"/>
      <c r="P897" s="376"/>
      <c r="Q897" s="376"/>
      <c r="R897" s="376"/>
    </row>
    <row r="898" spans="15:18">
      <c r="O898" s="376"/>
      <c r="P898" s="376"/>
      <c r="Q898" s="376"/>
      <c r="R898" s="376"/>
    </row>
    <row r="899" spans="15:18">
      <c r="O899" s="376"/>
      <c r="P899" s="376"/>
      <c r="Q899" s="376"/>
      <c r="R899" s="376"/>
    </row>
    <row r="900" spans="15:18">
      <c r="O900" s="376"/>
      <c r="P900" s="376"/>
      <c r="Q900" s="376"/>
      <c r="R900" s="376"/>
    </row>
    <row r="901" spans="15:18">
      <c r="O901" s="376"/>
      <c r="P901" s="376"/>
      <c r="Q901" s="376"/>
      <c r="R901" s="376"/>
    </row>
    <row r="902" spans="15:18">
      <c r="O902" s="376"/>
      <c r="P902" s="376"/>
      <c r="Q902" s="376"/>
      <c r="R902" s="376"/>
    </row>
    <row r="903" spans="15:18">
      <c r="O903" s="376"/>
      <c r="P903" s="376"/>
      <c r="Q903" s="376"/>
      <c r="R903" s="376"/>
    </row>
    <row r="904" spans="15:18">
      <c r="O904" s="376"/>
      <c r="P904" s="376"/>
      <c r="Q904" s="376"/>
      <c r="R904" s="376"/>
    </row>
    <row r="905" spans="15:18">
      <c r="O905" s="376"/>
      <c r="P905" s="376"/>
      <c r="Q905" s="376"/>
      <c r="R905" s="376"/>
    </row>
    <row r="906" spans="15:18">
      <c r="O906" s="376"/>
      <c r="P906" s="376"/>
      <c r="Q906" s="376"/>
      <c r="R906" s="376"/>
    </row>
    <row r="907" spans="15:18">
      <c r="O907" s="376"/>
      <c r="P907" s="376"/>
      <c r="Q907" s="376"/>
      <c r="R907" s="376"/>
    </row>
    <row r="908" spans="15:18">
      <c r="O908" s="376"/>
      <c r="P908" s="376"/>
      <c r="Q908" s="376"/>
      <c r="R908" s="376"/>
    </row>
    <row r="909" spans="15:18">
      <c r="O909" s="376"/>
      <c r="P909" s="376"/>
      <c r="Q909" s="376"/>
      <c r="R909" s="376"/>
    </row>
    <row r="910" spans="15:18">
      <c r="O910" s="376"/>
      <c r="P910" s="376"/>
      <c r="Q910" s="376"/>
      <c r="R910" s="376"/>
    </row>
    <row r="911" spans="15:18">
      <c r="O911" s="376"/>
      <c r="P911" s="376"/>
      <c r="Q911" s="376"/>
      <c r="R911" s="376"/>
    </row>
    <row r="912" spans="15:18">
      <c r="O912" s="376"/>
      <c r="P912" s="376"/>
      <c r="Q912" s="376"/>
      <c r="R912" s="376"/>
    </row>
    <row r="913" spans="15:18">
      <c r="O913" s="376"/>
      <c r="P913" s="376"/>
      <c r="Q913" s="376"/>
      <c r="R913" s="376"/>
    </row>
    <row r="914" spans="15:18">
      <c r="O914" s="376"/>
      <c r="P914" s="376"/>
      <c r="Q914" s="376"/>
      <c r="R914" s="376"/>
    </row>
    <row r="915" spans="15:18">
      <c r="O915" s="376"/>
      <c r="P915" s="376"/>
      <c r="Q915" s="376"/>
      <c r="R915" s="376"/>
    </row>
    <row r="916" spans="15:18">
      <c r="O916" s="376"/>
      <c r="P916" s="376"/>
      <c r="Q916" s="376"/>
      <c r="R916" s="376"/>
    </row>
    <row r="917" spans="15:18">
      <c r="O917" s="376"/>
      <c r="P917" s="376"/>
      <c r="Q917" s="376"/>
      <c r="R917" s="376"/>
    </row>
    <row r="918" spans="15:18">
      <c r="O918" s="376"/>
      <c r="P918" s="376"/>
      <c r="Q918" s="376"/>
      <c r="R918" s="376"/>
    </row>
    <row r="919" spans="15:18">
      <c r="O919" s="376"/>
      <c r="P919" s="376"/>
      <c r="Q919" s="376"/>
      <c r="R919" s="376"/>
    </row>
    <row r="920" spans="15:18">
      <c r="O920" s="376"/>
      <c r="P920" s="376"/>
      <c r="Q920" s="376"/>
      <c r="R920" s="376"/>
    </row>
    <row r="921" spans="15:18">
      <c r="O921" s="376"/>
      <c r="P921" s="376"/>
      <c r="Q921" s="376"/>
      <c r="R921" s="376"/>
    </row>
    <row r="922" spans="15:18">
      <c r="O922" s="376"/>
      <c r="P922" s="376"/>
      <c r="Q922" s="376"/>
      <c r="R922" s="376"/>
    </row>
    <row r="923" spans="15:18">
      <c r="O923" s="376"/>
      <c r="P923" s="376"/>
      <c r="Q923" s="376"/>
      <c r="R923" s="376"/>
    </row>
    <row r="924" spans="15:18">
      <c r="O924" s="376"/>
      <c r="P924" s="376"/>
      <c r="Q924" s="376"/>
      <c r="R924" s="376"/>
    </row>
    <row r="925" spans="15:18">
      <c r="O925" s="376"/>
      <c r="P925" s="376"/>
      <c r="Q925" s="376"/>
      <c r="R925" s="376"/>
    </row>
    <row r="926" spans="15:18">
      <c r="O926" s="376"/>
      <c r="P926" s="376"/>
      <c r="Q926" s="376"/>
      <c r="R926" s="376"/>
    </row>
    <row r="927" spans="15:18">
      <c r="O927" s="376"/>
      <c r="P927" s="376"/>
      <c r="Q927" s="376"/>
      <c r="R927" s="376"/>
    </row>
    <row r="928" spans="15:18">
      <c r="O928" s="376"/>
      <c r="P928" s="376"/>
      <c r="Q928" s="376"/>
      <c r="R928" s="376"/>
    </row>
    <row r="929" spans="15:18">
      <c r="O929" s="376"/>
      <c r="P929" s="376"/>
      <c r="Q929" s="376"/>
      <c r="R929" s="376"/>
    </row>
    <row r="930" spans="15:18">
      <c r="O930" s="376"/>
      <c r="P930" s="376"/>
      <c r="Q930" s="376"/>
      <c r="R930" s="376"/>
    </row>
    <row r="931" spans="15:18">
      <c r="O931" s="376"/>
      <c r="P931" s="376"/>
      <c r="Q931" s="376"/>
      <c r="R931" s="376"/>
    </row>
    <row r="932" spans="15:18">
      <c r="O932" s="376"/>
      <c r="P932" s="376"/>
      <c r="Q932" s="376"/>
      <c r="R932" s="376"/>
    </row>
    <row r="933" spans="15:18">
      <c r="O933" s="376"/>
      <c r="P933" s="376"/>
      <c r="Q933" s="376"/>
      <c r="R933" s="376"/>
    </row>
    <row r="934" spans="15:18">
      <c r="O934" s="376"/>
      <c r="P934" s="376"/>
      <c r="Q934" s="376"/>
      <c r="R934" s="376"/>
    </row>
    <row r="935" spans="15:18">
      <c r="O935" s="376"/>
      <c r="P935" s="376"/>
      <c r="Q935" s="376"/>
      <c r="R935" s="376"/>
    </row>
    <row r="936" spans="15:18">
      <c r="O936" s="376"/>
      <c r="P936" s="376"/>
      <c r="Q936" s="376"/>
      <c r="R936" s="376"/>
    </row>
    <row r="937" spans="15:18">
      <c r="O937" s="376"/>
      <c r="P937" s="376"/>
      <c r="Q937" s="376"/>
      <c r="R937" s="376"/>
    </row>
    <row r="938" spans="15:18">
      <c r="O938" s="376"/>
      <c r="P938" s="376"/>
      <c r="Q938" s="376"/>
      <c r="R938" s="376"/>
    </row>
    <row r="939" spans="15:18">
      <c r="O939" s="376"/>
      <c r="P939" s="376"/>
      <c r="Q939" s="376"/>
      <c r="R939" s="376"/>
    </row>
    <row r="940" spans="15:18">
      <c r="O940" s="376"/>
      <c r="P940" s="376"/>
      <c r="Q940" s="376"/>
      <c r="R940" s="376"/>
    </row>
    <row r="941" spans="15:18">
      <c r="O941" s="376"/>
      <c r="P941" s="376"/>
      <c r="Q941" s="376"/>
      <c r="R941" s="376"/>
    </row>
    <row r="942" spans="15:18">
      <c r="O942" s="376"/>
      <c r="P942" s="376"/>
      <c r="Q942" s="376"/>
      <c r="R942" s="376"/>
    </row>
    <row r="943" spans="15:18">
      <c r="O943" s="376"/>
      <c r="P943" s="376"/>
      <c r="Q943" s="376"/>
      <c r="R943" s="376"/>
    </row>
    <row r="944" spans="15:18">
      <c r="O944" s="376"/>
      <c r="P944" s="376"/>
      <c r="Q944" s="376"/>
      <c r="R944" s="376"/>
    </row>
    <row r="945" spans="15:18">
      <c r="O945" s="376"/>
      <c r="P945" s="376"/>
      <c r="Q945" s="376"/>
      <c r="R945" s="376"/>
    </row>
    <row r="946" spans="15:18">
      <c r="O946" s="376"/>
      <c r="P946" s="376"/>
      <c r="Q946" s="376"/>
      <c r="R946" s="376"/>
    </row>
    <row r="947" spans="15:18">
      <c r="O947" s="376"/>
      <c r="P947" s="376"/>
      <c r="Q947" s="376"/>
      <c r="R947" s="376"/>
    </row>
    <row r="948" spans="15:18">
      <c r="O948" s="376"/>
      <c r="P948" s="376"/>
      <c r="Q948" s="376"/>
      <c r="R948" s="376"/>
    </row>
    <row r="949" spans="15:18">
      <c r="O949" s="376"/>
      <c r="P949" s="376"/>
      <c r="Q949" s="376"/>
      <c r="R949" s="376"/>
    </row>
    <row r="950" spans="15:18">
      <c r="O950" s="376"/>
      <c r="P950" s="376"/>
      <c r="Q950" s="376"/>
      <c r="R950" s="376"/>
    </row>
    <row r="951" spans="15:18">
      <c r="O951" s="376"/>
      <c r="P951" s="376"/>
      <c r="Q951" s="376"/>
      <c r="R951" s="376"/>
    </row>
    <row r="952" spans="15:18">
      <c r="O952" s="376"/>
      <c r="P952" s="376"/>
      <c r="Q952" s="376"/>
      <c r="R952" s="376"/>
    </row>
    <row r="953" spans="15:18">
      <c r="O953" s="376"/>
      <c r="P953" s="376"/>
      <c r="Q953" s="376"/>
      <c r="R953" s="376"/>
    </row>
    <row r="954" spans="15:18">
      <c r="O954" s="376"/>
      <c r="P954" s="376"/>
      <c r="Q954" s="376"/>
      <c r="R954" s="376"/>
    </row>
    <row r="955" spans="15:18">
      <c r="O955" s="376"/>
      <c r="P955" s="376"/>
      <c r="Q955" s="376"/>
      <c r="R955" s="376"/>
    </row>
    <row r="956" spans="15:18">
      <c r="O956" s="376"/>
      <c r="P956" s="376"/>
      <c r="Q956" s="376"/>
      <c r="R956" s="376"/>
    </row>
    <row r="957" spans="15:18">
      <c r="O957" s="376"/>
      <c r="P957" s="376"/>
      <c r="Q957" s="376"/>
      <c r="R957" s="376"/>
    </row>
    <row r="958" spans="15:18">
      <c r="O958" s="376"/>
      <c r="P958" s="376"/>
      <c r="Q958" s="376"/>
      <c r="R958" s="376"/>
    </row>
    <row r="959" spans="15:18">
      <c r="O959" s="376"/>
      <c r="P959" s="376"/>
      <c r="Q959" s="376"/>
      <c r="R959" s="376"/>
    </row>
    <row r="960" spans="15:18">
      <c r="O960" s="376"/>
      <c r="P960" s="376"/>
      <c r="Q960" s="376"/>
      <c r="R960" s="376"/>
    </row>
    <row r="961" spans="15:18">
      <c r="O961" s="376"/>
      <c r="P961" s="376"/>
      <c r="Q961" s="376"/>
      <c r="R961" s="376"/>
    </row>
    <row r="962" spans="15:18">
      <c r="O962" s="376"/>
      <c r="P962" s="376"/>
      <c r="Q962" s="376"/>
      <c r="R962" s="376"/>
    </row>
    <row r="963" spans="15:18">
      <c r="O963" s="376"/>
      <c r="P963" s="376"/>
      <c r="Q963" s="376"/>
      <c r="R963" s="376"/>
    </row>
    <row r="964" spans="15:18">
      <c r="O964" s="376"/>
      <c r="P964" s="376"/>
      <c r="Q964" s="376"/>
      <c r="R964" s="376"/>
    </row>
    <row r="965" spans="15:18">
      <c r="O965" s="376"/>
      <c r="P965" s="376"/>
      <c r="Q965" s="376"/>
      <c r="R965" s="376"/>
    </row>
    <row r="966" spans="15:18">
      <c r="O966" s="376"/>
      <c r="P966" s="376"/>
      <c r="Q966" s="376"/>
      <c r="R966" s="376"/>
    </row>
    <row r="967" spans="15:18">
      <c r="O967" s="376"/>
      <c r="P967" s="376"/>
      <c r="Q967" s="376"/>
      <c r="R967" s="376"/>
    </row>
    <row r="968" spans="15:18">
      <c r="O968" s="376"/>
      <c r="P968" s="376"/>
      <c r="Q968" s="376"/>
      <c r="R968" s="376"/>
    </row>
    <row r="969" spans="15:18">
      <c r="O969" s="376"/>
      <c r="P969" s="376"/>
      <c r="Q969" s="376"/>
      <c r="R969" s="376"/>
    </row>
    <row r="970" spans="15:18">
      <c r="O970" s="376"/>
      <c r="P970" s="376"/>
      <c r="Q970" s="376"/>
      <c r="R970" s="376"/>
    </row>
    <row r="971" spans="15:18">
      <c r="O971" s="376"/>
      <c r="P971" s="376"/>
      <c r="Q971" s="376"/>
      <c r="R971" s="376"/>
    </row>
    <row r="972" spans="15:18">
      <c r="O972" s="376"/>
      <c r="P972" s="376"/>
      <c r="Q972" s="376"/>
      <c r="R972" s="376"/>
    </row>
    <row r="973" spans="15:18">
      <c r="O973" s="376"/>
      <c r="P973" s="376"/>
      <c r="Q973" s="376"/>
      <c r="R973" s="376"/>
    </row>
    <row r="974" spans="15:18">
      <c r="O974" s="376"/>
      <c r="P974" s="376"/>
      <c r="Q974" s="376"/>
      <c r="R974" s="376"/>
    </row>
    <row r="975" spans="15:18">
      <c r="O975" s="376"/>
      <c r="P975" s="376"/>
      <c r="Q975" s="376"/>
      <c r="R975" s="376"/>
    </row>
    <row r="976" spans="15:18">
      <c r="O976" s="376"/>
      <c r="P976" s="376"/>
      <c r="Q976" s="376"/>
      <c r="R976" s="376"/>
    </row>
    <row r="977" spans="15:18">
      <c r="O977" s="376"/>
      <c r="P977" s="376"/>
      <c r="Q977" s="376"/>
      <c r="R977" s="376"/>
    </row>
    <row r="978" spans="15:18">
      <c r="O978" s="376"/>
      <c r="P978" s="376"/>
      <c r="Q978" s="376"/>
      <c r="R978" s="376"/>
    </row>
    <row r="979" spans="15:18">
      <c r="O979" s="376"/>
      <c r="P979" s="376"/>
      <c r="Q979" s="376"/>
      <c r="R979" s="376"/>
    </row>
    <row r="980" spans="15:18">
      <c r="O980" s="376"/>
      <c r="P980" s="376"/>
      <c r="Q980" s="376"/>
      <c r="R980" s="376"/>
    </row>
    <row r="981" spans="15:18">
      <c r="O981" s="376"/>
      <c r="P981" s="376"/>
      <c r="Q981" s="376"/>
      <c r="R981" s="376"/>
    </row>
    <row r="982" spans="15:18">
      <c r="O982" s="376"/>
      <c r="P982" s="376"/>
      <c r="Q982" s="376"/>
      <c r="R982" s="376"/>
    </row>
    <row r="983" spans="15:18">
      <c r="O983" s="376"/>
      <c r="P983" s="376"/>
      <c r="Q983" s="376"/>
      <c r="R983" s="376"/>
    </row>
    <row r="984" spans="15:18">
      <c r="O984" s="376"/>
      <c r="P984" s="376"/>
      <c r="Q984" s="376"/>
      <c r="R984" s="376"/>
    </row>
    <row r="985" spans="15:18">
      <c r="O985" s="376"/>
      <c r="P985" s="376"/>
      <c r="Q985" s="376"/>
      <c r="R985" s="376"/>
    </row>
    <row r="986" spans="15:18">
      <c r="O986" s="376"/>
      <c r="P986" s="376"/>
      <c r="Q986" s="376"/>
      <c r="R986" s="376"/>
    </row>
    <row r="987" spans="15:18">
      <c r="O987" s="376"/>
      <c r="P987" s="376"/>
      <c r="Q987" s="376"/>
      <c r="R987" s="376"/>
    </row>
    <row r="988" spans="15:18">
      <c r="O988" s="376"/>
      <c r="P988" s="376"/>
      <c r="Q988" s="376"/>
      <c r="R988" s="376"/>
    </row>
    <row r="989" spans="15:18">
      <c r="O989" s="376"/>
      <c r="P989" s="376"/>
      <c r="Q989" s="376"/>
      <c r="R989" s="376"/>
    </row>
    <row r="990" spans="15:18">
      <c r="O990" s="376"/>
      <c r="P990" s="376"/>
      <c r="Q990" s="376"/>
      <c r="R990" s="376"/>
    </row>
    <row r="991" spans="15:18">
      <c r="O991" s="376"/>
      <c r="P991" s="376"/>
      <c r="Q991" s="376"/>
      <c r="R991" s="376"/>
    </row>
    <row r="992" spans="15:18">
      <c r="O992" s="376"/>
      <c r="P992" s="376"/>
      <c r="Q992" s="376"/>
      <c r="R992" s="376"/>
    </row>
    <row r="993" spans="15:18">
      <c r="O993" s="376"/>
      <c r="P993" s="376"/>
      <c r="Q993" s="376"/>
      <c r="R993" s="376"/>
    </row>
    <row r="994" spans="15:18">
      <c r="O994" s="376"/>
      <c r="P994" s="376"/>
      <c r="Q994" s="376"/>
      <c r="R994" s="376"/>
    </row>
    <row r="995" spans="15:18">
      <c r="O995" s="376"/>
      <c r="P995" s="376"/>
      <c r="Q995" s="376"/>
      <c r="R995" s="376"/>
    </row>
    <row r="996" spans="15:18">
      <c r="O996" s="376"/>
      <c r="P996" s="376"/>
      <c r="Q996" s="376"/>
      <c r="R996" s="376"/>
    </row>
    <row r="997" spans="15:18">
      <c r="O997" s="376"/>
      <c r="P997" s="376"/>
      <c r="Q997" s="376"/>
      <c r="R997" s="376"/>
    </row>
    <row r="998" spans="15:18">
      <c r="O998" s="376"/>
      <c r="P998" s="376"/>
      <c r="Q998" s="376"/>
      <c r="R998" s="376"/>
    </row>
    <row r="999" spans="15:18">
      <c r="O999" s="376"/>
      <c r="P999" s="376"/>
      <c r="Q999" s="376"/>
      <c r="R999" s="376"/>
    </row>
    <row r="1000" spans="15:18">
      <c r="O1000" s="376"/>
      <c r="P1000" s="376"/>
      <c r="Q1000" s="376"/>
      <c r="R1000" s="376"/>
    </row>
    <row r="1001" spans="15:18">
      <c r="O1001" s="376"/>
      <c r="P1001" s="376"/>
      <c r="Q1001" s="376"/>
      <c r="R1001" s="376"/>
    </row>
    <row r="1002" spans="15:18">
      <c r="O1002" s="376"/>
      <c r="P1002" s="376"/>
      <c r="Q1002" s="376"/>
      <c r="R1002" s="376"/>
    </row>
    <row r="1003" spans="15:18">
      <c r="O1003" s="376"/>
      <c r="P1003" s="376"/>
      <c r="Q1003" s="376"/>
      <c r="R1003" s="376"/>
    </row>
    <row r="1004" spans="15:18">
      <c r="O1004" s="376"/>
      <c r="P1004" s="376"/>
      <c r="Q1004" s="376"/>
      <c r="R1004" s="376"/>
    </row>
    <row r="1005" spans="15:18">
      <c r="O1005" s="376"/>
      <c r="P1005" s="376"/>
      <c r="Q1005" s="376"/>
      <c r="R1005" s="376"/>
    </row>
    <row r="1006" spans="15:18">
      <c r="O1006" s="376"/>
      <c r="P1006" s="376"/>
      <c r="Q1006" s="376"/>
      <c r="R1006" s="376"/>
    </row>
    <row r="1007" spans="15:18">
      <c r="O1007" s="376"/>
      <c r="P1007" s="376"/>
      <c r="Q1007" s="376"/>
      <c r="R1007" s="376"/>
    </row>
    <row r="1008" spans="15:18">
      <c r="O1008" s="376"/>
      <c r="P1008" s="376"/>
      <c r="Q1008" s="376"/>
      <c r="R1008" s="376"/>
    </row>
    <row r="1009" spans="15:18">
      <c r="O1009" s="376"/>
      <c r="P1009" s="376"/>
      <c r="Q1009" s="376"/>
      <c r="R1009" s="376"/>
    </row>
    <row r="1010" spans="15:18">
      <c r="O1010" s="376"/>
      <c r="P1010" s="376"/>
      <c r="Q1010" s="376"/>
      <c r="R1010" s="376"/>
    </row>
    <row r="1011" spans="15:18">
      <c r="O1011" s="376"/>
      <c r="P1011" s="376"/>
      <c r="Q1011" s="376"/>
      <c r="R1011" s="376"/>
    </row>
    <row r="1012" spans="15:18">
      <c r="O1012" s="376"/>
      <c r="P1012" s="376"/>
      <c r="Q1012" s="376"/>
      <c r="R1012" s="376"/>
    </row>
    <row r="1013" spans="15:18">
      <c r="O1013" s="376"/>
      <c r="P1013" s="376"/>
      <c r="Q1013" s="376"/>
      <c r="R1013" s="376"/>
    </row>
    <row r="1014" spans="15:18">
      <c r="O1014" s="376"/>
      <c r="P1014" s="376"/>
      <c r="Q1014" s="376"/>
      <c r="R1014" s="376"/>
    </row>
    <row r="1015" spans="15:18">
      <c r="O1015" s="376"/>
      <c r="P1015" s="376"/>
      <c r="Q1015" s="376"/>
      <c r="R1015" s="376"/>
    </row>
    <row r="1016" spans="15:18">
      <c r="O1016" s="376"/>
      <c r="P1016" s="376"/>
      <c r="Q1016" s="376"/>
      <c r="R1016" s="376"/>
    </row>
    <row r="1017" spans="15:18">
      <c r="O1017" s="376"/>
      <c r="P1017" s="376"/>
      <c r="Q1017" s="376"/>
      <c r="R1017" s="376"/>
    </row>
    <row r="1018" spans="15:18">
      <c r="O1018" s="376"/>
      <c r="P1018" s="376"/>
      <c r="Q1018" s="376"/>
      <c r="R1018" s="376"/>
    </row>
    <row r="1019" spans="15:18">
      <c r="O1019" s="376"/>
      <c r="P1019" s="376"/>
      <c r="Q1019" s="376"/>
      <c r="R1019" s="376"/>
    </row>
    <row r="1020" spans="15:18">
      <c r="O1020" s="376"/>
      <c r="P1020" s="376"/>
      <c r="Q1020" s="376"/>
      <c r="R1020" s="376"/>
    </row>
    <row r="1021" spans="15:18">
      <c r="O1021" s="376"/>
      <c r="P1021" s="376"/>
      <c r="Q1021" s="376"/>
      <c r="R1021" s="376"/>
    </row>
    <row r="1022" spans="15:18">
      <c r="O1022" s="376"/>
      <c r="P1022" s="376"/>
      <c r="Q1022" s="376"/>
      <c r="R1022" s="376"/>
    </row>
    <row r="1023" spans="15:18">
      <c r="O1023" s="376"/>
      <c r="P1023" s="376"/>
      <c r="Q1023" s="376"/>
      <c r="R1023" s="376"/>
    </row>
    <row r="1024" spans="15:18">
      <c r="O1024" s="376"/>
      <c r="P1024" s="376"/>
      <c r="Q1024" s="376"/>
      <c r="R1024" s="376"/>
    </row>
    <row r="1025" spans="15:18">
      <c r="O1025" s="376"/>
      <c r="P1025" s="376"/>
      <c r="Q1025" s="376"/>
      <c r="R1025" s="376"/>
    </row>
    <row r="1026" spans="15:18">
      <c r="O1026" s="376"/>
      <c r="P1026" s="376"/>
      <c r="Q1026" s="376"/>
      <c r="R1026" s="376"/>
    </row>
    <row r="1027" spans="15:18">
      <c r="O1027" s="376"/>
      <c r="P1027" s="376"/>
      <c r="Q1027" s="376"/>
      <c r="R1027" s="376"/>
    </row>
    <row r="1028" spans="15:18">
      <c r="O1028" s="376"/>
      <c r="P1028" s="376"/>
      <c r="Q1028" s="376"/>
      <c r="R1028" s="376"/>
    </row>
    <row r="1029" spans="15:18">
      <c r="O1029" s="376"/>
      <c r="P1029" s="376"/>
      <c r="Q1029" s="376"/>
      <c r="R1029" s="376"/>
    </row>
    <row r="1030" spans="15:18">
      <c r="O1030" s="376"/>
      <c r="P1030" s="376"/>
      <c r="Q1030" s="376"/>
      <c r="R1030" s="376"/>
    </row>
    <row r="1031" spans="15:18">
      <c r="O1031" s="376"/>
      <c r="P1031" s="376"/>
      <c r="Q1031" s="376"/>
      <c r="R1031" s="376"/>
    </row>
    <row r="1032" spans="15:18">
      <c r="O1032" s="376"/>
      <c r="P1032" s="376"/>
      <c r="Q1032" s="376"/>
      <c r="R1032" s="376"/>
    </row>
    <row r="1033" spans="15:18">
      <c r="O1033" s="376"/>
      <c r="P1033" s="376"/>
      <c r="Q1033" s="376"/>
      <c r="R1033" s="376"/>
    </row>
    <row r="1034" spans="15:18">
      <c r="O1034" s="376"/>
      <c r="P1034" s="376"/>
      <c r="Q1034" s="376"/>
      <c r="R1034" s="376"/>
    </row>
    <row r="1035" spans="15:18">
      <c r="O1035" s="376"/>
      <c r="P1035" s="376"/>
      <c r="Q1035" s="376"/>
      <c r="R1035" s="376"/>
    </row>
    <row r="1036" spans="15:18">
      <c r="O1036" s="376"/>
      <c r="P1036" s="376"/>
      <c r="Q1036" s="376"/>
      <c r="R1036" s="376"/>
    </row>
    <row r="1037" spans="15:18">
      <c r="O1037" s="376"/>
      <c r="P1037" s="376"/>
      <c r="Q1037" s="376"/>
      <c r="R1037" s="376"/>
    </row>
    <row r="1038" spans="15:18">
      <c r="O1038" s="376"/>
      <c r="P1038" s="376"/>
      <c r="Q1038" s="376"/>
      <c r="R1038" s="376"/>
    </row>
    <row r="1039" spans="15:18">
      <c r="O1039" s="376"/>
      <c r="P1039" s="376"/>
      <c r="Q1039" s="376"/>
      <c r="R1039" s="376"/>
    </row>
    <row r="1040" spans="15:18">
      <c r="O1040" s="376"/>
      <c r="P1040" s="376"/>
      <c r="Q1040" s="376"/>
      <c r="R1040" s="376"/>
    </row>
    <row r="1041" spans="15:18">
      <c r="O1041" s="376"/>
      <c r="P1041" s="376"/>
      <c r="Q1041" s="376"/>
      <c r="R1041" s="376"/>
    </row>
    <row r="1042" spans="15:18">
      <c r="O1042" s="376"/>
      <c r="P1042" s="376"/>
      <c r="Q1042" s="376"/>
      <c r="R1042" s="376"/>
    </row>
    <row r="1043" spans="15:18">
      <c r="O1043" s="376"/>
      <c r="P1043" s="376"/>
      <c r="Q1043" s="376"/>
      <c r="R1043" s="376"/>
    </row>
    <row r="1044" spans="15:18">
      <c r="O1044" s="376"/>
      <c r="P1044" s="376"/>
      <c r="Q1044" s="376"/>
      <c r="R1044" s="376"/>
    </row>
    <row r="1045" spans="15:18">
      <c r="O1045" s="376"/>
      <c r="P1045" s="376"/>
      <c r="Q1045" s="376"/>
      <c r="R1045" s="376"/>
    </row>
    <row r="1046" spans="15:18">
      <c r="O1046" s="376"/>
      <c r="P1046" s="376"/>
      <c r="Q1046" s="376"/>
      <c r="R1046" s="376"/>
    </row>
    <row r="1047" spans="15:18">
      <c r="O1047" s="376"/>
      <c r="P1047" s="376"/>
      <c r="Q1047" s="376"/>
      <c r="R1047" s="376"/>
    </row>
    <row r="1048" spans="15:18">
      <c r="O1048" s="376"/>
      <c r="P1048" s="376"/>
      <c r="Q1048" s="376"/>
      <c r="R1048" s="376"/>
    </row>
    <row r="1049" spans="15:18">
      <c r="O1049" s="376"/>
      <c r="P1049" s="376"/>
      <c r="Q1049" s="376"/>
      <c r="R1049" s="376"/>
    </row>
    <row r="1050" spans="15:18">
      <c r="O1050" s="376"/>
      <c r="P1050" s="376"/>
      <c r="Q1050" s="376"/>
      <c r="R1050" s="376"/>
    </row>
    <row r="1051" spans="15:18">
      <c r="O1051" s="376"/>
      <c r="P1051" s="376"/>
      <c r="Q1051" s="376"/>
      <c r="R1051" s="376"/>
    </row>
    <row r="1052" spans="15:18">
      <c r="O1052" s="376"/>
      <c r="P1052" s="376"/>
      <c r="Q1052" s="376"/>
      <c r="R1052" s="376"/>
    </row>
    <row r="1053" spans="15:18">
      <c r="O1053" s="376"/>
      <c r="P1053" s="376"/>
      <c r="Q1053" s="376"/>
      <c r="R1053" s="376"/>
    </row>
    <row r="1054" spans="15:18">
      <c r="O1054" s="376"/>
      <c r="P1054" s="376"/>
      <c r="Q1054" s="376"/>
      <c r="R1054" s="376"/>
    </row>
    <row r="1055" spans="15:18">
      <c r="O1055" s="376"/>
      <c r="P1055" s="376"/>
      <c r="Q1055" s="376"/>
      <c r="R1055" s="376"/>
    </row>
    <row r="1056" spans="15:18">
      <c r="O1056" s="376"/>
      <c r="P1056" s="376"/>
      <c r="Q1056" s="376"/>
      <c r="R1056" s="376"/>
    </row>
    <row r="1057" spans="15:18">
      <c r="O1057" s="376"/>
      <c r="P1057" s="376"/>
      <c r="Q1057" s="376"/>
      <c r="R1057" s="376"/>
    </row>
    <row r="1058" spans="15:18">
      <c r="O1058" s="376"/>
      <c r="P1058" s="376"/>
      <c r="Q1058" s="376"/>
      <c r="R1058" s="376"/>
    </row>
    <row r="1059" spans="15:18">
      <c r="O1059" s="376"/>
      <c r="P1059" s="376"/>
      <c r="Q1059" s="376"/>
      <c r="R1059" s="376"/>
    </row>
    <row r="1060" spans="15:18">
      <c r="O1060" s="376"/>
      <c r="P1060" s="376"/>
      <c r="Q1060" s="376"/>
      <c r="R1060" s="376"/>
    </row>
    <row r="1061" spans="15:18">
      <c r="O1061" s="376"/>
      <c r="P1061" s="376"/>
      <c r="Q1061" s="376"/>
      <c r="R1061" s="376"/>
    </row>
    <row r="1062" spans="15:18">
      <c r="O1062" s="376"/>
      <c r="P1062" s="376"/>
      <c r="Q1062" s="376"/>
      <c r="R1062" s="376"/>
    </row>
    <row r="1063" spans="15:18">
      <c r="O1063" s="376"/>
      <c r="P1063" s="376"/>
      <c r="Q1063" s="376"/>
      <c r="R1063" s="376"/>
    </row>
    <row r="1064" spans="15:18">
      <c r="O1064" s="376"/>
      <c r="P1064" s="376"/>
      <c r="Q1064" s="376"/>
      <c r="R1064" s="376"/>
    </row>
    <row r="1065" spans="15:18">
      <c r="O1065" s="376"/>
      <c r="P1065" s="376"/>
      <c r="Q1065" s="376"/>
      <c r="R1065" s="376"/>
    </row>
    <row r="1066" spans="15:18">
      <c r="O1066" s="376"/>
      <c r="P1066" s="376"/>
      <c r="Q1066" s="376"/>
      <c r="R1066" s="376"/>
    </row>
    <row r="1067" spans="15:18">
      <c r="O1067" s="376"/>
      <c r="P1067" s="376"/>
      <c r="Q1067" s="376"/>
      <c r="R1067" s="376"/>
    </row>
    <row r="1068" spans="15:18">
      <c r="O1068" s="376"/>
      <c r="P1068" s="376"/>
      <c r="Q1068" s="376"/>
      <c r="R1068" s="376"/>
    </row>
    <row r="1069" spans="15:18">
      <c r="O1069" s="376"/>
      <c r="P1069" s="376"/>
      <c r="Q1069" s="376"/>
      <c r="R1069" s="376"/>
    </row>
    <row r="1070" spans="15:18">
      <c r="O1070" s="376"/>
      <c r="P1070" s="376"/>
      <c r="Q1070" s="376"/>
      <c r="R1070" s="376"/>
    </row>
    <row r="1071" spans="15:18">
      <c r="O1071" s="376"/>
      <c r="P1071" s="376"/>
      <c r="Q1071" s="376"/>
      <c r="R1071" s="376"/>
    </row>
    <row r="1072" spans="15:18">
      <c r="O1072" s="376"/>
      <c r="P1072" s="376"/>
      <c r="Q1072" s="376"/>
      <c r="R1072" s="376"/>
    </row>
    <row r="1073" spans="15:18">
      <c r="O1073" s="376"/>
      <c r="P1073" s="376"/>
      <c r="Q1073" s="376"/>
      <c r="R1073" s="376"/>
    </row>
    <row r="1074" spans="15:18">
      <c r="O1074" s="376"/>
      <c r="P1074" s="376"/>
      <c r="Q1074" s="376"/>
      <c r="R1074" s="376"/>
    </row>
    <row r="1075" spans="15:18">
      <c r="O1075" s="376"/>
      <c r="P1075" s="376"/>
      <c r="Q1075" s="376"/>
      <c r="R1075" s="376"/>
    </row>
    <row r="1076" spans="15:18">
      <c r="O1076" s="376"/>
      <c r="P1076" s="376"/>
      <c r="Q1076" s="376"/>
      <c r="R1076" s="376"/>
    </row>
    <row r="1077" spans="15:18">
      <c r="O1077" s="376"/>
      <c r="P1077" s="376"/>
      <c r="Q1077" s="376"/>
      <c r="R1077" s="376"/>
    </row>
    <row r="1078" spans="15:18">
      <c r="O1078" s="376"/>
      <c r="P1078" s="376"/>
      <c r="Q1078" s="376"/>
      <c r="R1078" s="376"/>
    </row>
    <row r="1079" spans="15:18">
      <c r="O1079" s="376"/>
      <c r="P1079" s="376"/>
      <c r="Q1079" s="376"/>
      <c r="R1079" s="376"/>
    </row>
    <row r="1080" spans="15:18">
      <c r="O1080" s="376"/>
      <c r="P1080" s="376"/>
      <c r="Q1080" s="376"/>
      <c r="R1080" s="376"/>
    </row>
    <row r="1081" spans="15:18">
      <c r="O1081" s="376"/>
      <c r="P1081" s="376"/>
      <c r="Q1081" s="376"/>
      <c r="R1081" s="376"/>
    </row>
    <row r="1082" spans="15:18">
      <c r="O1082" s="376"/>
      <c r="P1082" s="376"/>
      <c r="Q1082" s="376"/>
      <c r="R1082" s="376"/>
    </row>
    <row r="1083" spans="15:18">
      <c r="O1083" s="376"/>
      <c r="P1083" s="376"/>
      <c r="Q1083" s="376"/>
      <c r="R1083" s="376"/>
    </row>
    <row r="1084" spans="15:18">
      <c r="O1084" s="376"/>
      <c r="P1084" s="376"/>
      <c r="Q1084" s="376"/>
      <c r="R1084" s="376"/>
    </row>
    <row r="1085" spans="15:18">
      <c r="O1085" s="376"/>
      <c r="P1085" s="376"/>
      <c r="Q1085" s="376"/>
      <c r="R1085" s="376"/>
    </row>
    <row r="1086" spans="15:18">
      <c r="O1086" s="376"/>
      <c r="P1086" s="376"/>
      <c r="Q1086" s="376"/>
      <c r="R1086" s="376"/>
    </row>
    <row r="1087" spans="15:18">
      <c r="O1087" s="376"/>
      <c r="P1087" s="376"/>
      <c r="Q1087" s="376"/>
      <c r="R1087" s="376"/>
    </row>
    <row r="1088" spans="15:18">
      <c r="O1088" s="376"/>
      <c r="P1088" s="376"/>
      <c r="Q1088" s="376"/>
      <c r="R1088" s="376"/>
    </row>
    <row r="1089" spans="15:18">
      <c r="O1089" s="376"/>
      <c r="P1089" s="376"/>
      <c r="Q1089" s="376"/>
      <c r="R1089" s="376"/>
    </row>
    <row r="1090" spans="15:18">
      <c r="O1090" s="376"/>
      <c r="P1090" s="376"/>
      <c r="Q1090" s="376"/>
      <c r="R1090" s="376"/>
    </row>
    <row r="1091" spans="15:18">
      <c r="O1091" s="376"/>
      <c r="P1091" s="376"/>
      <c r="Q1091" s="376"/>
      <c r="R1091" s="376"/>
    </row>
    <row r="1092" spans="15:18">
      <c r="O1092" s="376"/>
      <c r="P1092" s="376"/>
      <c r="Q1092" s="376"/>
      <c r="R1092" s="376"/>
    </row>
    <row r="1093" spans="15:18">
      <c r="O1093" s="376"/>
      <c r="P1093" s="376"/>
      <c r="Q1093" s="376"/>
      <c r="R1093" s="376"/>
    </row>
    <row r="1094" spans="15:18">
      <c r="O1094" s="376"/>
      <c r="P1094" s="376"/>
      <c r="Q1094" s="376"/>
      <c r="R1094" s="376"/>
    </row>
    <row r="1095" spans="15:18">
      <c r="O1095" s="376"/>
      <c r="P1095" s="376"/>
      <c r="Q1095" s="376"/>
      <c r="R1095" s="376"/>
    </row>
    <row r="1096" spans="15:18">
      <c r="O1096" s="376"/>
      <c r="P1096" s="376"/>
      <c r="Q1096" s="376"/>
      <c r="R1096" s="376"/>
    </row>
    <row r="1097" spans="15:18">
      <c r="O1097" s="376"/>
      <c r="P1097" s="376"/>
      <c r="Q1097" s="376"/>
      <c r="R1097" s="376"/>
    </row>
    <row r="1098" spans="15:18">
      <c r="O1098" s="376"/>
      <c r="P1098" s="376"/>
      <c r="Q1098" s="376"/>
      <c r="R1098" s="376"/>
    </row>
    <row r="1099" spans="15:18">
      <c r="O1099" s="376"/>
      <c r="P1099" s="376"/>
      <c r="Q1099" s="376"/>
      <c r="R1099" s="376"/>
    </row>
    <row r="1100" spans="15:18">
      <c r="O1100" s="376"/>
      <c r="P1100" s="376"/>
      <c r="Q1100" s="376"/>
      <c r="R1100" s="376"/>
    </row>
    <row r="1101" spans="15:18">
      <c r="O1101" s="376"/>
      <c r="P1101" s="376"/>
      <c r="Q1101" s="376"/>
      <c r="R1101" s="376"/>
    </row>
    <row r="1102" spans="15:18">
      <c r="O1102" s="376"/>
      <c r="P1102" s="376"/>
      <c r="Q1102" s="376"/>
      <c r="R1102" s="376"/>
    </row>
    <row r="1103" spans="15:18">
      <c r="O1103" s="376"/>
      <c r="P1103" s="376"/>
      <c r="Q1103" s="376"/>
      <c r="R1103" s="376"/>
    </row>
    <row r="1104" spans="15:18">
      <c r="O1104" s="376"/>
      <c r="P1104" s="376"/>
      <c r="Q1104" s="376"/>
      <c r="R1104" s="376"/>
    </row>
    <row r="1105" spans="15:18">
      <c r="O1105" s="376"/>
      <c r="P1105" s="376"/>
      <c r="Q1105" s="376"/>
      <c r="R1105" s="376"/>
    </row>
    <row r="1106" spans="15:18">
      <c r="O1106" s="376"/>
      <c r="P1106" s="376"/>
      <c r="Q1106" s="376"/>
      <c r="R1106" s="376"/>
    </row>
    <row r="1107" spans="15:18">
      <c r="O1107" s="376"/>
      <c r="P1107" s="376"/>
      <c r="Q1107" s="376"/>
      <c r="R1107" s="376"/>
    </row>
    <row r="1108" spans="15:18">
      <c r="O1108" s="376"/>
      <c r="P1108" s="376"/>
      <c r="Q1108" s="376"/>
      <c r="R1108" s="376"/>
    </row>
    <row r="1109" spans="15:18">
      <c r="O1109" s="376"/>
      <c r="P1109" s="376"/>
      <c r="Q1109" s="376"/>
      <c r="R1109" s="376"/>
    </row>
    <row r="1110" spans="15:18">
      <c r="O1110" s="376"/>
      <c r="P1110" s="376"/>
      <c r="Q1110" s="376"/>
      <c r="R1110" s="376"/>
    </row>
    <row r="1111" spans="15:18">
      <c r="O1111" s="376"/>
      <c r="P1111" s="376"/>
      <c r="Q1111" s="376"/>
      <c r="R1111" s="376"/>
    </row>
    <row r="1112" spans="15:18">
      <c r="O1112" s="376"/>
      <c r="P1112" s="376"/>
      <c r="Q1112" s="376"/>
      <c r="R1112" s="376"/>
    </row>
    <row r="1113" spans="15:18">
      <c r="O1113" s="376"/>
      <c r="P1113" s="376"/>
      <c r="Q1113" s="376"/>
      <c r="R1113" s="376"/>
    </row>
    <row r="1114" spans="15:18">
      <c r="O1114" s="376"/>
      <c r="P1114" s="376"/>
      <c r="Q1114" s="376"/>
      <c r="R1114" s="376"/>
    </row>
    <row r="1115" spans="15:18">
      <c r="O1115" s="376"/>
      <c r="P1115" s="376"/>
      <c r="Q1115" s="376"/>
      <c r="R1115" s="376"/>
    </row>
    <row r="1116" spans="15:18">
      <c r="O1116" s="376"/>
      <c r="P1116" s="376"/>
      <c r="Q1116" s="376"/>
      <c r="R1116" s="376"/>
    </row>
    <row r="1117" spans="15:18">
      <c r="O1117" s="376"/>
      <c r="P1117" s="376"/>
      <c r="Q1117" s="376"/>
      <c r="R1117" s="376"/>
    </row>
    <row r="1118" spans="15:18">
      <c r="O1118" s="376"/>
      <c r="P1118" s="376"/>
      <c r="Q1118" s="376"/>
      <c r="R1118" s="376"/>
    </row>
    <row r="1119" spans="15:18">
      <c r="O1119" s="376"/>
      <c r="P1119" s="376"/>
      <c r="Q1119" s="376"/>
      <c r="R1119" s="376"/>
    </row>
    <row r="1120" spans="15:18">
      <c r="O1120" s="376"/>
      <c r="P1120" s="376"/>
      <c r="Q1120" s="376"/>
      <c r="R1120" s="376"/>
    </row>
    <row r="1121" spans="15:18">
      <c r="O1121" s="376"/>
      <c r="P1121" s="376"/>
      <c r="Q1121" s="376"/>
      <c r="R1121" s="376"/>
    </row>
    <row r="1122" spans="15:18">
      <c r="O1122" s="376"/>
      <c r="P1122" s="376"/>
      <c r="Q1122" s="376"/>
      <c r="R1122" s="376"/>
    </row>
    <row r="1123" spans="15:18">
      <c r="O1123" s="376"/>
      <c r="P1123" s="376"/>
      <c r="Q1123" s="376"/>
      <c r="R1123" s="376"/>
    </row>
    <row r="1124" spans="15:18">
      <c r="O1124" s="376"/>
      <c r="P1124" s="376"/>
      <c r="Q1124" s="376"/>
      <c r="R1124" s="376"/>
    </row>
    <row r="1125" spans="15:18">
      <c r="O1125" s="376"/>
      <c r="P1125" s="376"/>
      <c r="Q1125" s="376"/>
      <c r="R1125" s="376"/>
    </row>
    <row r="1126" spans="15:18">
      <c r="O1126" s="376"/>
      <c r="P1126" s="376"/>
      <c r="Q1126" s="376"/>
      <c r="R1126" s="376"/>
    </row>
    <row r="1127" spans="15:18">
      <c r="O1127" s="376"/>
      <c r="P1127" s="376"/>
      <c r="Q1127" s="376"/>
      <c r="R1127" s="376"/>
    </row>
    <row r="1128" spans="15:18">
      <c r="O1128" s="376"/>
      <c r="P1128" s="376"/>
      <c r="Q1128" s="376"/>
      <c r="R1128" s="376"/>
    </row>
    <row r="1129" spans="15:18">
      <c r="O1129" s="376"/>
      <c r="P1129" s="376"/>
      <c r="Q1129" s="376"/>
      <c r="R1129" s="376"/>
    </row>
    <row r="1130" spans="15:18">
      <c r="O1130" s="376"/>
      <c r="P1130" s="376"/>
      <c r="Q1130" s="376"/>
      <c r="R1130" s="376"/>
    </row>
    <row r="1131" spans="15:18">
      <c r="O1131" s="376"/>
      <c r="P1131" s="376"/>
      <c r="Q1131" s="376"/>
      <c r="R1131" s="376"/>
    </row>
    <row r="1132" spans="15:18">
      <c r="O1132" s="376"/>
      <c r="P1132" s="376"/>
      <c r="Q1132" s="376"/>
      <c r="R1132" s="376"/>
    </row>
    <row r="1133" spans="15:18">
      <c r="O1133" s="376"/>
      <c r="P1133" s="376"/>
      <c r="Q1133" s="376"/>
      <c r="R1133" s="376"/>
    </row>
    <row r="1134" spans="15:18">
      <c r="O1134" s="376"/>
      <c r="P1134" s="376"/>
      <c r="Q1134" s="376"/>
      <c r="R1134" s="376"/>
    </row>
    <row r="1135" spans="15:18">
      <c r="O1135" s="376"/>
      <c r="P1135" s="376"/>
      <c r="Q1135" s="376"/>
      <c r="R1135" s="376"/>
    </row>
    <row r="1136" spans="15:18">
      <c r="O1136" s="376"/>
      <c r="P1136" s="376"/>
      <c r="Q1136" s="376"/>
      <c r="R1136" s="376"/>
    </row>
    <row r="1137" spans="15:18">
      <c r="O1137" s="376"/>
      <c r="P1137" s="376"/>
      <c r="Q1137" s="376"/>
      <c r="R1137" s="376"/>
    </row>
    <row r="1138" spans="15:18">
      <c r="O1138" s="376"/>
      <c r="P1138" s="376"/>
      <c r="Q1138" s="376"/>
      <c r="R1138" s="376"/>
    </row>
    <row r="1139" spans="15:18">
      <c r="O1139" s="376"/>
      <c r="P1139" s="376"/>
      <c r="Q1139" s="376"/>
      <c r="R1139" s="376"/>
    </row>
    <row r="1140" spans="15:18">
      <c r="O1140" s="376"/>
      <c r="P1140" s="376"/>
      <c r="Q1140" s="376"/>
      <c r="R1140" s="376"/>
    </row>
    <row r="1141" spans="15:18">
      <c r="O1141" s="376"/>
      <c r="P1141" s="376"/>
      <c r="Q1141" s="376"/>
      <c r="R1141" s="376"/>
    </row>
    <row r="1142" spans="15:18">
      <c r="O1142" s="376"/>
      <c r="P1142" s="376"/>
      <c r="Q1142" s="376"/>
      <c r="R1142" s="376"/>
    </row>
    <row r="1143" spans="15:18">
      <c r="O1143" s="376"/>
      <c r="P1143" s="376"/>
      <c r="Q1143" s="376"/>
      <c r="R1143" s="376"/>
    </row>
    <row r="1144" spans="15:18">
      <c r="O1144" s="376"/>
      <c r="P1144" s="376"/>
      <c r="Q1144" s="376"/>
      <c r="R1144" s="376"/>
    </row>
    <row r="1145" spans="15:18">
      <c r="O1145" s="376"/>
      <c r="P1145" s="376"/>
      <c r="Q1145" s="376"/>
      <c r="R1145" s="376"/>
    </row>
    <row r="1146" spans="15:18">
      <c r="O1146" s="376"/>
      <c r="P1146" s="376"/>
      <c r="Q1146" s="376"/>
      <c r="R1146" s="376"/>
    </row>
    <row r="1147" spans="15:18">
      <c r="O1147" s="376"/>
      <c r="P1147" s="376"/>
      <c r="Q1147" s="376"/>
      <c r="R1147" s="376"/>
    </row>
    <row r="1148" spans="15:18">
      <c r="O1148" s="376"/>
      <c r="P1148" s="376"/>
      <c r="Q1148" s="376"/>
      <c r="R1148" s="376"/>
    </row>
    <row r="1149" spans="15:18">
      <c r="O1149" s="376"/>
      <c r="P1149" s="376"/>
      <c r="Q1149" s="376"/>
      <c r="R1149" s="376"/>
    </row>
    <row r="1150" spans="15:18">
      <c r="O1150" s="376"/>
      <c r="P1150" s="376"/>
      <c r="Q1150" s="376"/>
      <c r="R1150" s="376"/>
    </row>
    <row r="1151" spans="15:18">
      <c r="O1151" s="376"/>
      <c r="P1151" s="376"/>
      <c r="Q1151" s="376"/>
      <c r="R1151" s="376"/>
    </row>
    <row r="1152" spans="15:18">
      <c r="O1152" s="376"/>
      <c r="P1152" s="376"/>
      <c r="Q1152" s="376"/>
      <c r="R1152" s="376"/>
    </row>
    <row r="1153" spans="15:18">
      <c r="O1153" s="376"/>
      <c r="P1153" s="376"/>
      <c r="Q1153" s="376"/>
      <c r="R1153" s="376"/>
    </row>
    <row r="1154" spans="15:18">
      <c r="O1154" s="376"/>
      <c r="P1154" s="376"/>
      <c r="Q1154" s="376"/>
      <c r="R1154" s="376"/>
    </row>
    <row r="1155" spans="15:18">
      <c r="O1155" s="376"/>
      <c r="P1155" s="376"/>
      <c r="Q1155" s="376"/>
      <c r="R1155" s="376"/>
    </row>
    <row r="1156" spans="15:18">
      <c r="O1156" s="376"/>
      <c r="P1156" s="376"/>
      <c r="Q1156" s="376"/>
      <c r="R1156" s="376"/>
    </row>
    <row r="1157" spans="15:18">
      <c r="O1157" s="376"/>
      <c r="P1157" s="376"/>
      <c r="Q1157" s="376"/>
      <c r="R1157" s="376"/>
    </row>
    <row r="1158" spans="15:18">
      <c r="O1158" s="376"/>
      <c r="P1158" s="376"/>
      <c r="Q1158" s="376"/>
      <c r="R1158" s="376"/>
    </row>
    <row r="1159" spans="15:18">
      <c r="O1159" s="376"/>
      <c r="P1159" s="376"/>
      <c r="Q1159" s="376"/>
      <c r="R1159" s="376"/>
    </row>
    <row r="1160" spans="15:18">
      <c r="O1160" s="376"/>
      <c r="P1160" s="376"/>
      <c r="Q1160" s="376"/>
      <c r="R1160" s="376"/>
    </row>
    <row r="1161" spans="15:18">
      <c r="O1161" s="376"/>
      <c r="P1161" s="376"/>
      <c r="Q1161" s="376"/>
      <c r="R1161" s="376"/>
    </row>
    <row r="1162" spans="15:18">
      <c r="O1162" s="376"/>
      <c r="P1162" s="376"/>
      <c r="Q1162" s="376"/>
      <c r="R1162" s="376"/>
    </row>
    <row r="1163" spans="15:18">
      <c r="O1163" s="376"/>
      <c r="P1163" s="376"/>
      <c r="Q1163" s="376"/>
      <c r="R1163" s="376"/>
    </row>
    <row r="1164" spans="15:18">
      <c r="O1164" s="376"/>
      <c r="P1164" s="376"/>
      <c r="Q1164" s="376"/>
      <c r="R1164" s="376"/>
    </row>
    <row r="1165" spans="15:18">
      <c r="O1165" s="376"/>
      <c r="P1165" s="376"/>
      <c r="Q1165" s="376"/>
      <c r="R1165" s="376"/>
    </row>
    <row r="1166" spans="15:18">
      <c r="O1166" s="376"/>
      <c r="P1166" s="376"/>
      <c r="Q1166" s="376"/>
      <c r="R1166" s="376"/>
    </row>
    <row r="1167" spans="15:18">
      <c r="O1167" s="376"/>
      <c r="P1167" s="376"/>
      <c r="Q1167" s="376"/>
      <c r="R1167" s="376"/>
    </row>
    <row r="1168" spans="15:18">
      <c r="O1168" s="376"/>
      <c r="P1168" s="376"/>
      <c r="Q1168" s="376"/>
      <c r="R1168" s="376"/>
    </row>
    <row r="1169" spans="15:18">
      <c r="O1169" s="376"/>
      <c r="P1169" s="376"/>
      <c r="Q1169" s="376"/>
      <c r="R1169" s="376"/>
    </row>
    <row r="1170" spans="15:18">
      <c r="O1170" s="376"/>
      <c r="P1170" s="376"/>
      <c r="Q1170" s="376"/>
      <c r="R1170" s="376"/>
    </row>
    <row r="1171" spans="15:18">
      <c r="O1171" s="376"/>
      <c r="P1171" s="376"/>
      <c r="Q1171" s="376"/>
      <c r="R1171" s="376"/>
    </row>
    <row r="1172" spans="15:18">
      <c r="O1172" s="376"/>
      <c r="P1172" s="376"/>
      <c r="Q1172" s="376"/>
      <c r="R1172" s="376"/>
    </row>
    <row r="1173" spans="15:18">
      <c r="O1173" s="376"/>
      <c r="P1173" s="376"/>
      <c r="Q1173" s="376"/>
      <c r="R1173" s="376"/>
    </row>
    <row r="1174" spans="15:18">
      <c r="O1174" s="376"/>
      <c r="P1174" s="376"/>
      <c r="Q1174" s="376"/>
      <c r="R1174" s="376"/>
    </row>
    <row r="1175" spans="15:18">
      <c r="O1175" s="376"/>
      <c r="P1175" s="376"/>
      <c r="Q1175" s="376"/>
      <c r="R1175" s="376"/>
    </row>
    <row r="1176" spans="15:18">
      <c r="O1176" s="376"/>
      <c r="P1176" s="376"/>
      <c r="Q1176" s="376"/>
      <c r="R1176" s="376"/>
    </row>
    <row r="1177" spans="15:18">
      <c r="O1177" s="376"/>
      <c r="P1177" s="376"/>
      <c r="Q1177" s="376"/>
      <c r="R1177" s="376"/>
    </row>
    <row r="1178" spans="15:18">
      <c r="O1178" s="376"/>
      <c r="P1178" s="376"/>
      <c r="Q1178" s="376"/>
      <c r="R1178" s="376"/>
    </row>
    <row r="1179" spans="15:18">
      <c r="O1179" s="376"/>
      <c r="P1179" s="376"/>
      <c r="Q1179" s="376"/>
      <c r="R1179" s="376"/>
    </row>
    <row r="1180" spans="15:18">
      <c r="O1180" s="376"/>
      <c r="P1180" s="376"/>
      <c r="Q1180" s="376"/>
      <c r="R1180" s="376"/>
    </row>
    <row r="1181" spans="15:18">
      <c r="O1181" s="376"/>
      <c r="P1181" s="376"/>
      <c r="Q1181" s="376"/>
      <c r="R1181" s="376"/>
    </row>
    <row r="1182" spans="15:18">
      <c r="O1182" s="376"/>
      <c r="P1182" s="376"/>
      <c r="Q1182" s="376"/>
      <c r="R1182" s="376"/>
    </row>
    <row r="1183" spans="15:18">
      <c r="O1183" s="376"/>
      <c r="P1183" s="376"/>
      <c r="Q1183" s="376"/>
      <c r="R1183" s="376"/>
    </row>
    <row r="1184" spans="15:18">
      <c r="O1184" s="376"/>
      <c r="P1184" s="376"/>
      <c r="Q1184" s="376"/>
      <c r="R1184" s="376"/>
    </row>
    <row r="1185" spans="15:18">
      <c r="O1185" s="376"/>
      <c r="P1185" s="376"/>
      <c r="Q1185" s="376"/>
      <c r="R1185" s="376"/>
    </row>
    <row r="1186" spans="15:18">
      <c r="O1186" s="376"/>
      <c r="P1186" s="376"/>
      <c r="Q1186" s="376"/>
      <c r="R1186" s="376"/>
    </row>
    <row r="1187" spans="15:18">
      <c r="O1187" s="376"/>
      <c r="P1187" s="376"/>
      <c r="Q1187" s="376"/>
      <c r="R1187" s="376"/>
    </row>
    <row r="1188" spans="15:18">
      <c r="O1188" s="376"/>
      <c r="P1188" s="376"/>
      <c r="Q1188" s="376"/>
      <c r="R1188" s="376"/>
    </row>
    <row r="1189" spans="15:18">
      <c r="O1189" s="376"/>
      <c r="P1189" s="376"/>
      <c r="Q1189" s="376"/>
      <c r="R1189" s="376"/>
    </row>
    <row r="1190" spans="15:18">
      <c r="O1190" s="376"/>
      <c r="P1190" s="376"/>
      <c r="Q1190" s="376"/>
      <c r="R1190" s="376"/>
    </row>
    <row r="1191" spans="15:18">
      <c r="O1191" s="376"/>
      <c r="P1191" s="376"/>
      <c r="Q1191" s="376"/>
      <c r="R1191" s="376"/>
    </row>
    <row r="1192" spans="15:18">
      <c r="O1192" s="376"/>
      <c r="P1192" s="376"/>
      <c r="Q1192" s="376"/>
      <c r="R1192" s="376"/>
    </row>
    <row r="1193" spans="15:18">
      <c r="O1193" s="376"/>
      <c r="P1193" s="376"/>
      <c r="Q1193" s="376"/>
      <c r="R1193" s="376"/>
    </row>
    <row r="1194" spans="15:18">
      <c r="O1194" s="376"/>
      <c r="P1194" s="376"/>
      <c r="Q1194" s="376"/>
      <c r="R1194" s="376"/>
    </row>
    <row r="1195" spans="15:18">
      <c r="O1195" s="376"/>
      <c r="P1195" s="376"/>
      <c r="Q1195" s="376"/>
      <c r="R1195" s="376"/>
    </row>
    <row r="1196" spans="15:18">
      <c r="O1196" s="376"/>
      <c r="P1196" s="376"/>
      <c r="Q1196" s="376"/>
      <c r="R1196" s="376"/>
    </row>
    <row r="1197" spans="15:18">
      <c r="O1197" s="376"/>
      <c r="P1197" s="376"/>
      <c r="Q1197" s="376"/>
      <c r="R1197" s="376"/>
    </row>
    <row r="1198" spans="15:18">
      <c r="O1198" s="376"/>
      <c r="P1198" s="376"/>
      <c r="Q1198" s="376"/>
      <c r="R1198" s="376"/>
    </row>
    <row r="1199" spans="15:18">
      <c r="O1199" s="376"/>
      <c r="P1199" s="376"/>
      <c r="Q1199" s="376"/>
      <c r="R1199" s="376"/>
    </row>
    <row r="1200" spans="15:18">
      <c r="O1200" s="376"/>
      <c r="P1200" s="376"/>
      <c r="Q1200" s="376"/>
      <c r="R1200" s="376"/>
    </row>
    <row r="1201" spans="15:18">
      <c r="O1201" s="376"/>
      <c r="P1201" s="376"/>
      <c r="Q1201" s="376"/>
      <c r="R1201" s="376"/>
    </row>
    <row r="1202" spans="15:18">
      <c r="O1202" s="376"/>
      <c r="P1202" s="376"/>
      <c r="Q1202" s="376"/>
      <c r="R1202" s="376"/>
    </row>
    <row r="1203" spans="15:18">
      <c r="O1203" s="376"/>
      <c r="P1203" s="376"/>
      <c r="Q1203" s="376"/>
      <c r="R1203" s="376"/>
    </row>
    <row r="1204" spans="15:18">
      <c r="O1204" s="376"/>
      <c r="P1204" s="376"/>
      <c r="Q1204" s="376"/>
      <c r="R1204" s="376"/>
    </row>
    <row r="1205" spans="15:18">
      <c r="O1205" s="376"/>
      <c r="P1205" s="376"/>
      <c r="Q1205" s="376"/>
      <c r="R1205" s="376"/>
    </row>
    <row r="1206" spans="15:18">
      <c r="O1206" s="376"/>
      <c r="P1206" s="376"/>
      <c r="Q1206" s="376"/>
      <c r="R1206" s="376"/>
    </row>
    <row r="1207" spans="15:18">
      <c r="O1207" s="376"/>
      <c r="P1207" s="376"/>
      <c r="Q1207" s="376"/>
      <c r="R1207" s="376"/>
    </row>
    <row r="1208" spans="15:18">
      <c r="O1208" s="376"/>
      <c r="P1208" s="376"/>
      <c r="Q1208" s="376"/>
      <c r="R1208" s="376"/>
    </row>
    <row r="1209" spans="15:18">
      <c r="O1209" s="376"/>
      <c r="P1209" s="376"/>
      <c r="Q1209" s="376"/>
      <c r="R1209" s="376"/>
    </row>
    <row r="1210" spans="15:18">
      <c r="O1210" s="376"/>
      <c r="P1210" s="376"/>
      <c r="Q1210" s="376"/>
      <c r="R1210" s="376"/>
    </row>
    <row r="1211" spans="15:18">
      <c r="O1211" s="376"/>
      <c r="P1211" s="376"/>
      <c r="Q1211" s="376"/>
      <c r="R1211" s="376"/>
    </row>
    <row r="1212" spans="15:18">
      <c r="O1212" s="376"/>
      <c r="P1212" s="376"/>
      <c r="Q1212" s="376"/>
      <c r="R1212" s="376"/>
    </row>
    <row r="1213" spans="15:18">
      <c r="O1213" s="376"/>
      <c r="P1213" s="376"/>
      <c r="Q1213" s="376"/>
      <c r="R1213" s="376"/>
    </row>
    <row r="1214" spans="15:18">
      <c r="O1214" s="376"/>
      <c r="P1214" s="376"/>
      <c r="Q1214" s="376"/>
      <c r="R1214" s="376"/>
    </row>
    <row r="1215" spans="15:18">
      <c r="O1215" s="376"/>
      <c r="P1215" s="376"/>
      <c r="Q1215" s="376"/>
      <c r="R1215" s="376"/>
    </row>
    <row r="1216" spans="15:18">
      <c r="O1216" s="376"/>
      <c r="P1216" s="376"/>
      <c r="Q1216" s="376"/>
      <c r="R1216" s="376"/>
    </row>
    <row r="1217" spans="15:18">
      <c r="O1217" s="376"/>
      <c r="P1217" s="376"/>
      <c r="Q1217" s="376"/>
      <c r="R1217" s="376"/>
    </row>
    <row r="1218" spans="15:18">
      <c r="O1218" s="376"/>
      <c r="P1218" s="376"/>
      <c r="Q1218" s="376"/>
      <c r="R1218" s="376"/>
    </row>
    <row r="1219" spans="15:18">
      <c r="O1219" s="376"/>
      <c r="P1219" s="376"/>
      <c r="Q1219" s="376"/>
      <c r="R1219" s="376"/>
    </row>
    <row r="1220" spans="15:18">
      <c r="O1220" s="376"/>
      <c r="P1220" s="376"/>
      <c r="Q1220" s="376"/>
      <c r="R1220" s="376"/>
    </row>
    <row r="1221" spans="15:18">
      <c r="O1221" s="376"/>
      <c r="P1221" s="376"/>
      <c r="Q1221" s="376"/>
      <c r="R1221" s="376"/>
    </row>
    <row r="1222" spans="15:18">
      <c r="O1222" s="376"/>
      <c r="P1222" s="376"/>
      <c r="Q1222" s="376"/>
      <c r="R1222" s="376"/>
    </row>
    <row r="1223" spans="15:18">
      <c r="O1223" s="376"/>
      <c r="P1223" s="376"/>
      <c r="Q1223" s="376"/>
      <c r="R1223" s="376"/>
    </row>
    <row r="1224" spans="15:18">
      <c r="O1224" s="376"/>
      <c r="P1224" s="376"/>
      <c r="Q1224" s="376"/>
      <c r="R1224" s="376"/>
    </row>
    <row r="1225" spans="15:18">
      <c r="O1225" s="376"/>
      <c r="P1225" s="376"/>
      <c r="Q1225" s="376"/>
      <c r="R1225" s="376"/>
    </row>
    <row r="1226" spans="15:18">
      <c r="O1226" s="376"/>
      <c r="P1226" s="376"/>
      <c r="Q1226" s="376"/>
      <c r="R1226" s="376"/>
    </row>
    <row r="1227" spans="15:18">
      <c r="O1227" s="376"/>
      <c r="P1227" s="376"/>
      <c r="Q1227" s="376"/>
      <c r="R1227" s="376"/>
    </row>
    <row r="1228" spans="15:18">
      <c r="O1228" s="376"/>
      <c r="P1228" s="376"/>
      <c r="Q1228" s="376"/>
      <c r="R1228" s="376"/>
    </row>
    <row r="1229" spans="15:18">
      <c r="O1229" s="376"/>
      <c r="P1229" s="376"/>
      <c r="Q1229" s="376"/>
      <c r="R1229" s="376"/>
    </row>
    <row r="1230" spans="15:18">
      <c r="O1230" s="376"/>
      <c r="P1230" s="376"/>
      <c r="Q1230" s="376"/>
      <c r="R1230" s="376"/>
    </row>
    <row r="1231" spans="15:18">
      <c r="O1231" s="376"/>
      <c r="P1231" s="376"/>
      <c r="Q1231" s="376"/>
      <c r="R1231" s="376"/>
    </row>
    <row r="1232" spans="15:18">
      <c r="O1232" s="376"/>
      <c r="P1232" s="376"/>
      <c r="Q1232" s="376"/>
      <c r="R1232" s="376"/>
    </row>
    <row r="1233" spans="15:18">
      <c r="O1233" s="376"/>
      <c r="P1233" s="376"/>
      <c r="Q1233" s="376"/>
      <c r="R1233" s="376"/>
    </row>
    <row r="1234" spans="15:18">
      <c r="O1234" s="376"/>
      <c r="P1234" s="376"/>
      <c r="Q1234" s="376"/>
      <c r="R1234" s="376"/>
    </row>
    <row r="1235" spans="15:18">
      <c r="O1235" s="376"/>
      <c r="P1235" s="376"/>
      <c r="Q1235" s="376"/>
      <c r="R1235" s="376"/>
    </row>
    <row r="1236" spans="15:18">
      <c r="O1236" s="376"/>
      <c r="P1236" s="376"/>
      <c r="Q1236" s="376"/>
      <c r="R1236" s="376"/>
    </row>
    <row r="1237" spans="15:18">
      <c r="O1237" s="376"/>
      <c r="P1237" s="376"/>
      <c r="Q1237" s="376"/>
      <c r="R1237" s="376"/>
    </row>
    <row r="1238" spans="15:18">
      <c r="O1238" s="376"/>
      <c r="P1238" s="376"/>
      <c r="Q1238" s="376"/>
      <c r="R1238" s="376"/>
    </row>
    <row r="1239" spans="15:18">
      <c r="O1239" s="376"/>
      <c r="P1239" s="376"/>
      <c r="Q1239" s="376"/>
      <c r="R1239" s="376"/>
    </row>
    <row r="1240" spans="15:18">
      <c r="O1240" s="376"/>
      <c r="P1240" s="376"/>
      <c r="Q1240" s="376"/>
      <c r="R1240" s="376"/>
    </row>
    <row r="1241" spans="15:18">
      <c r="O1241" s="376"/>
      <c r="P1241" s="376"/>
      <c r="Q1241" s="376"/>
      <c r="R1241" s="376"/>
    </row>
    <row r="1242" spans="15:18">
      <c r="O1242" s="376"/>
      <c r="P1242" s="376"/>
      <c r="Q1242" s="376"/>
      <c r="R1242" s="376"/>
    </row>
    <row r="1243" spans="15:18">
      <c r="O1243" s="376"/>
      <c r="P1243" s="376"/>
      <c r="Q1243" s="376"/>
      <c r="R1243" s="376"/>
    </row>
    <row r="1244" spans="15:18">
      <c r="O1244" s="376"/>
      <c r="P1244" s="376"/>
      <c r="Q1244" s="376"/>
      <c r="R1244" s="376"/>
    </row>
    <row r="1245" spans="15:18">
      <c r="O1245" s="376"/>
      <c r="P1245" s="376"/>
      <c r="Q1245" s="376"/>
      <c r="R1245" s="376"/>
    </row>
    <row r="1246" spans="15:18">
      <c r="O1246" s="376"/>
      <c r="P1246" s="376"/>
      <c r="Q1246" s="376"/>
      <c r="R1246" s="376"/>
    </row>
    <row r="1247" spans="15:18">
      <c r="O1247" s="376"/>
      <c r="P1247" s="376"/>
      <c r="Q1247" s="376"/>
      <c r="R1247" s="376"/>
    </row>
    <row r="1248" spans="15:18">
      <c r="O1248" s="376"/>
      <c r="P1248" s="376"/>
      <c r="Q1248" s="376"/>
      <c r="R1248" s="376"/>
    </row>
    <row r="1249" spans="15:18">
      <c r="O1249" s="376"/>
      <c r="P1249" s="376"/>
      <c r="Q1249" s="376"/>
      <c r="R1249" s="376"/>
    </row>
    <row r="1250" spans="15:18">
      <c r="O1250" s="376"/>
      <c r="P1250" s="376"/>
      <c r="Q1250" s="376"/>
      <c r="R1250" s="376"/>
    </row>
    <row r="1251" spans="15:18">
      <c r="O1251" s="376"/>
      <c r="P1251" s="376"/>
      <c r="Q1251" s="376"/>
      <c r="R1251" s="376"/>
    </row>
    <row r="1252" spans="15:18">
      <c r="O1252" s="376"/>
      <c r="P1252" s="376"/>
      <c r="Q1252" s="376"/>
      <c r="R1252" s="376"/>
    </row>
    <row r="1253" spans="15:18">
      <c r="O1253" s="376"/>
      <c r="P1253" s="376"/>
      <c r="Q1253" s="376"/>
      <c r="R1253" s="376"/>
    </row>
    <row r="1254" spans="15:18">
      <c r="O1254" s="376"/>
      <c r="P1254" s="376"/>
      <c r="Q1254" s="376"/>
      <c r="R1254" s="376"/>
    </row>
    <row r="1255" spans="15:18">
      <c r="O1255" s="376"/>
      <c r="P1255" s="376"/>
      <c r="Q1255" s="376"/>
      <c r="R1255" s="376"/>
    </row>
    <row r="1256" spans="15:18">
      <c r="O1256" s="376"/>
      <c r="P1256" s="376"/>
      <c r="Q1256" s="376"/>
      <c r="R1256" s="376"/>
    </row>
    <row r="1257" spans="15:18">
      <c r="O1257" s="376"/>
      <c r="P1257" s="376"/>
      <c r="Q1257" s="376"/>
      <c r="R1257" s="376"/>
    </row>
    <row r="1258" spans="15:18">
      <c r="O1258" s="376"/>
      <c r="P1258" s="376"/>
      <c r="Q1258" s="376"/>
      <c r="R1258" s="376"/>
    </row>
    <row r="1259" spans="15:18">
      <c r="O1259" s="376"/>
      <c r="P1259" s="376"/>
      <c r="Q1259" s="376"/>
      <c r="R1259" s="376"/>
    </row>
    <row r="1260" spans="15:18">
      <c r="O1260" s="376"/>
      <c r="P1260" s="376"/>
      <c r="Q1260" s="376"/>
      <c r="R1260" s="376"/>
    </row>
    <row r="1261" spans="15:18">
      <c r="O1261" s="376"/>
      <c r="P1261" s="376"/>
      <c r="Q1261" s="376"/>
      <c r="R1261" s="376"/>
    </row>
    <row r="1262" spans="15:18">
      <c r="O1262" s="376"/>
      <c r="P1262" s="376"/>
      <c r="Q1262" s="376"/>
      <c r="R1262" s="376"/>
    </row>
    <row r="1263" spans="15:18">
      <c r="O1263" s="376"/>
      <c r="P1263" s="376"/>
      <c r="Q1263" s="376"/>
      <c r="R1263" s="376"/>
    </row>
    <row r="1264" spans="15:18">
      <c r="O1264" s="376"/>
      <c r="P1264" s="376"/>
      <c r="Q1264" s="376"/>
      <c r="R1264" s="376"/>
    </row>
    <row r="1265" spans="15:18">
      <c r="O1265" s="376"/>
      <c r="P1265" s="376"/>
      <c r="Q1265" s="376"/>
      <c r="R1265" s="376"/>
    </row>
    <row r="1266" spans="15:18">
      <c r="O1266" s="376"/>
      <c r="P1266" s="376"/>
      <c r="Q1266" s="376"/>
      <c r="R1266" s="376"/>
    </row>
    <row r="1267" spans="15:18">
      <c r="O1267" s="376"/>
      <c r="P1267" s="376"/>
      <c r="Q1267" s="376"/>
      <c r="R1267" s="376"/>
    </row>
    <row r="1268" spans="15:18">
      <c r="O1268" s="376"/>
      <c r="P1268" s="376"/>
      <c r="Q1268" s="376"/>
      <c r="R1268" s="376"/>
    </row>
    <row r="1269" spans="15:18">
      <c r="O1269" s="376"/>
      <c r="P1269" s="376"/>
      <c r="Q1269" s="376"/>
      <c r="R1269" s="376"/>
    </row>
    <row r="1270" spans="15:18">
      <c r="O1270" s="376"/>
      <c r="P1270" s="376"/>
      <c r="Q1270" s="376"/>
      <c r="R1270" s="376"/>
    </row>
    <row r="1271" spans="15:18">
      <c r="O1271" s="376"/>
      <c r="P1271" s="376"/>
      <c r="Q1271" s="376"/>
      <c r="R1271" s="376"/>
    </row>
    <row r="1272" spans="15:18">
      <c r="O1272" s="376"/>
      <c r="P1272" s="376"/>
      <c r="Q1272" s="376"/>
      <c r="R1272" s="376"/>
    </row>
    <row r="1273" spans="15:18">
      <c r="O1273" s="376"/>
      <c r="P1273" s="376"/>
      <c r="Q1273" s="376"/>
      <c r="R1273" s="376"/>
    </row>
    <row r="1274" spans="15:18">
      <c r="O1274" s="376"/>
      <c r="P1274" s="376"/>
      <c r="Q1274" s="376"/>
      <c r="R1274" s="376"/>
    </row>
    <row r="1275" spans="15:18">
      <c r="O1275" s="376"/>
      <c r="P1275" s="376"/>
      <c r="Q1275" s="376"/>
      <c r="R1275" s="376"/>
    </row>
    <row r="1276" spans="15:18">
      <c r="O1276" s="376"/>
      <c r="P1276" s="376"/>
      <c r="Q1276" s="376"/>
      <c r="R1276" s="376"/>
    </row>
    <row r="1277" spans="15:18">
      <c r="O1277" s="376"/>
      <c r="P1277" s="376"/>
      <c r="Q1277" s="376"/>
      <c r="R1277" s="376"/>
    </row>
    <row r="1278" spans="15:18">
      <c r="O1278" s="376"/>
      <c r="P1278" s="376"/>
      <c r="Q1278" s="376"/>
      <c r="R1278" s="376"/>
    </row>
    <row r="1279" spans="15:18">
      <c r="O1279" s="376"/>
      <c r="P1279" s="376"/>
      <c r="Q1279" s="376"/>
      <c r="R1279" s="376"/>
    </row>
    <row r="1280" spans="15:18">
      <c r="O1280" s="376"/>
      <c r="P1280" s="376"/>
      <c r="Q1280" s="376"/>
      <c r="R1280" s="376"/>
    </row>
    <row r="1281" spans="15:18">
      <c r="O1281" s="376"/>
      <c r="P1281" s="376"/>
      <c r="Q1281" s="376"/>
      <c r="R1281" s="376"/>
    </row>
    <row r="1282" spans="15:18">
      <c r="O1282" s="376"/>
      <c r="P1282" s="376"/>
      <c r="Q1282" s="376"/>
      <c r="R1282" s="376"/>
    </row>
    <row r="1283" spans="15:18">
      <c r="O1283" s="376"/>
      <c r="P1283" s="376"/>
      <c r="Q1283" s="376"/>
      <c r="R1283" s="376"/>
    </row>
    <row r="1284" spans="15:18">
      <c r="O1284" s="376"/>
      <c r="P1284" s="376"/>
      <c r="Q1284" s="376"/>
      <c r="R1284" s="376"/>
    </row>
    <row r="1285" spans="15:18">
      <c r="O1285" s="376"/>
      <c r="P1285" s="376"/>
      <c r="Q1285" s="376"/>
      <c r="R1285" s="376"/>
    </row>
    <row r="1286" spans="15:18">
      <c r="O1286" s="376"/>
      <c r="P1286" s="376"/>
      <c r="Q1286" s="376"/>
      <c r="R1286" s="376"/>
    </row>
    <row r="1287" spans="15:18">
      <c r="O1287" s="376"/>
      <c r="P1287" s="376"/>
      <c r="Q1287" s="376"/>
      <c r="R1287" s="376"/>
    </row>
    <row r="1288" spans="15:18">
      <c r="O1288" s="376"/>
      <c r="P1288" s="376"/>
      <c r="Q1288" s="376"/>
      <c r="R1288" s="376"/>
    </row>
    <row r="1289" spans="15:18">
      <c r="O1289" s="376"/>
      <c r="P1289" s="376"/>
      <c r="Q1289" s="376"/>
      <c r="R1289" s="376"/>
    </row>
    <row r="1290" spans="15:18">
      <c r="O1290" s="376"/>
      <c r="P1290" s="376"/>
      <c r="Q1290" s="376"/>
      <c r="R1290" s="376"/>
    </row>
    <row r="1291" spans="15:18">
      <c r="O1291" s="376"/>
      <c r="P1291" s="376"/>
      <c r="Q1291" s="376"/>
      <c r="R1291" s="376"/>
    </row>
    <row r="1292" spans="15:18">
      <c r="O1292" s="376"/>
      <c r="P1292" s="376"/>
      <c r="Q1292" s="376"/>
      <c r="R1292" s="376"/>
    </row>
    <row r="1293" spans="15:18">
      <c r="O1293" s="376"/>
      <c r="P1293" s="376"/>
      <c r="Q1293" s="376"/>
      <c r="R1293" s="376"/>
    </row>
    <row r="1294" spans="15:18">
      <c r="O1294" s="376"/>
      <c r="P1294" s="376"/>
      <c r="Q1294" s="376"/>
      <c r="R1294" s="376"/>
    </row>
    <row r="1295" spans="15:18">
      <c r="O1295" s="376"/>
      <c r="P1295" s="376"/>
      <c r="Q1295" s="376"/>
      <c r="R1295" s="376"/>
    </row>
    <row r="1296" spans="15:18">
      <c r="O1296" s="376"/>
      <c r="P1296" s="376"/>
      <c r="Q1296" s="376"/>
      <c r="R1296" s="376"/>
    </row>
    <row r="1297" spans="15:18">
      <c r="O1297" s="376"/>
      <c r="P1297" s="376"/>
      <c r="Q1297" s="376"/>
      <c r="R1297" s="376"/>
    </row>
    <row r="1298" spans="15:18">
      <c r="O1298" s="376"/>
      <c r="P1298" s="376"/>
      <c r="Q1298" s="376"/>
      <c r="R1298" s="376"/>
    </row>
    <row r="1299" spans="15:18">
      <c r="O1299" s="376"/>
      <c r="P1299" s="376"/>
      <c r="Q1299" s="376"/>
      <c r="R1299" s="376"/>
    </row>
    <row r="1300" spans="15:18">
      <c r="O1300" s="376"/>
      <c r="P1300" s="376"/>
      <c r="Q1300" s="376"/>
      <c r="R1300" s="376"/>
    </row>
    <row r="1301" spans="15:18">
      <c r="O1301" s="376"/>
      <c r="P1301" s="376"/>
      <c r="Q1301" s="376"/>
      <c r="R1301" s="376"/>
    </row>
    <row r="1302" spans="15:18">
      <c r="O1302" s="376"/>
      <c r="P1302" s="376"/>
      <c r="Q1302" s="376"/>
      <c r="R1302" s="376"/>
    </row>
    <row r="1303" spans="15:18">
      <c r="O1303" s="376"/>
      <c r="P1303" s="376"/>
      <c r="Q1303" s="376"/>
      <c r="R1303" s="376"/>
    </row>
    <row r="1304" spans="15:18">
      <c r="O1304" s="376"/>
      <c r="P1304" s="376"/>
      <c r="Q1304" s="376"/>
      <c r="R1304" s="376"/>
    </row>
    <row r="1305" spans="15:18">
      <c r="O1305" s="376"/>
      <c r="P1305" s="376"/>
      <c r="Q1305" s="376"/>
      <c r="R1305" s="376"/>
    </row>
    <row r="1306" spans="15:18">
      <c r="O1306" s="376"/>
      <c r="P1306" s="376"/>
      <c r="Q1306" s="376"/>
      <c r="R1306" s="376"/>
    </row>
    <row r="1307" spans="15:18">
      <c r="O1307" s="376"/>
      <c r="P1307" s="376"/>
      <c r="Q1307" s="376"/>
      <c r="R1307" s="376"/>
    </row>
    <row r="1308" spans="15:18">
      <c r="O1308" s="376"/>
      <c r="P1308" s="376"/>
      <c r="Q1308" s="376"/>
      <c r="R1308" s="376"/>
    </row>
    <row r="1309" spans="15:18">
      <c r="O1309" s="376"/>
      <c r="P1309" s="376"/>
      <c r="Q1309" s="376"/>
      <c r="R1309" s="376"/>
    </row>
    <row r="1310" spans="15:18">
      <c r="O1310" s="376"/>
      <c r="P1310" s="376"/>
      <c r="Q1310" s="376"/>
      <c r="R1310" s="376"/>
    </row>
    <row r="1311" spans="15:18">
      <c r="O1311" s="376"/>
      <c r="P1311" s="376"/>
      <c r="Q1311" s="376"/>
      <c r="R1311" s="376"/>
    </row>
    <row r="1312" spans="15:18">
      <c r="O1312" s="376"/>
      <c r="P1312" s="376"/>
      <c r="Q1312" s="376"/>
      <c r="R1312" s="376"/>
    </row>
    <row r="1313" spans="15:18">
      <c r="O1313" s="376"/>
      <c r="P1313" s="376"/>
      <c r="Q1313" s="376"/>
      <c r="R1313" s="376"/>
    </row>
    <row r="1314" spans="15:18">
      <c r="O1314" s="376"/>
      <c r="P1314" s="376"/>
      <c r="Q1314" s="376"/>
      <c r="R1314" s="376"/>
    </row>
    <row r="1315" spans="15:18">
      <c r="O1315" s="376"/>
      <c r="P1315" s="376"/>
      <c r="Q1315" s="376"/>
      <c r="R1315" s="376"/>
    </row>
    <row r="1316" spans="15:18">
      <c r="O1316" s="376"/>
      <c r="P1316" s="376"/>
      <c r="Q1316" s="376"/>
      <c r="R1316" s="376"/>
    </row>
    <row r="1317" spans="15:18">
      <c r="O1317" s="376"/>
      <c r="P1317" s="376"/>
      <c r="Q1317" s="376"/>
      <c r="R1317" s="376"/>
    </row>
    <row r="1318" spans="15:18">
      <c r="O1318" s="376"/>
      <c r="P1318" s="376"/>
      <c r="Q1318" s="376"/>
      <c r="R1318" s="376"/>
    </row>
    <row r="1319" spans="15:18">
      <c r="O1319" s="376"/>
      <c r="P1319" s="376"/>
      <c r="Q1319" s="376"/>
      <c r="R1319" s="376"/>
    </row>
    <row r="1320" spans="15:18">
      <c r="O1320" s="376"/>
      <c r="P1320" s="376"/>
      <c r="Q1320" s="376"/>
      <c r="R1320" s="376"/>
    </row>
    <row r="1321" spans="15:18">
      <c r="O1321" s="376"/>
      <c r="P1321" s="376"/>
      <c r="Q1321" s="376"/>
      <c r="R1321" s="376"/>
    </row>
    <row r="1322" spans="15:18">
      <c r="O1322" s="376"/>
      <c r="P1322" s="376"/>
      <c r="Q1322" s="376"/>
      <c r="R1322" s="376"/>
    </row>
    <row r="1323" spans="15:18">
      <c r="O1323" s="376"/>
      <c r="P1323" s="376"/>
      <c r="Q1323" s="376"/>
      <c r="R1323" s="376"/>
    </row>
    <row r="1324" spans="15:18">
      <c r="O1324" s="376"/>
      <c r="P1324" s="376"/>
      <c r="Q1324" s="376"/>
      <c r="R1324" s="376"/>
    </row>
    <row r="1325" spans="15:18">
      <c r="O1325" s="376"/>
      <c r="P1325" s="376"/>
      <c r="Q1325" s="376"/>
      <c r="R1325" s="376"/>
    </row>
    <row r="1326" spans="15:18">
      <c r="O1326" s="376"/>
      <c r="P1326" s="376"/>
      <c r="Q1326" s="376"/>
      <c r="R1326" s="376"/>
    </row>
    <row r="1327" spans="15:18">
      <c r="O1327" s="376"/>
      <c r="P1327" s="376"/>
      <c r="Q1327" s="376"/>
      <c r="R1327" s="376"/>
    </row>
    <row r="1328" spans="15:18">
      <c r="O1328" s="376"/>
      <c r="P1328" s="376"/>
      <c r="Q1328" s="376"/>
      <c r="R1328" s="376"/>
    </row>
    <row r="1329" spans="15:18">
      <c r="O1329" s="376"/>
      <c r="P1329" s="376"/>
      <c r="Q1329" s="376"/>
      <c r="R1329" s="376"/>
    </row>
    <row r="1330" spans="15:18">
      <c r="O1330" s="376"/>
      <c r="P1330" s="376"/>
      <c r="Q1330" s="376"/>
      <c r="R1330" s="376"/>
    </row>
    <row r="1331" spans="15:18">
      <c r="O1331" s="376"/>
      <c r="P1331" s="376"/>
      <c r="Q1331" s="376"/>
      <c r="R1331" s="376"/>
    </row>
    <row r="1332" spans="15:18">
      <c r="O1332" s="376"/>
      <c r="P1332" s="376"/>
      <c r="Q1332" s="376"/>
      <c r="R1332" s="376"/>
    </row>
    <row r="1333" spans="15:18">
      <c r="O1333" s="376"/>
      <c r="P1333" s="376"/>
      <c r="Q1333" s="376"/>
      <c r="R1333" s="376"/>
    </row>
    <row r="1334" spans="15:18">
      <c r="O1334" s="376"/>
      <c r="P1334" s="376"/>
      <c r="Q1334" s="376"/>
      <c r="R1334" s="376"/>
    </row>
    <row r="1335" spans="15:18">
      <c r="O1335" s="376"/>
      <c r="P1335" s="376"/>
      <c r="Q1335" s="376"/>
      <c r="R1335" s="376"/>
    </row>
    <row r="1336" spans="15:18">
      <c r="O1336" s="376"/>
      <c r="P1336" s="376"/>
      <c r="Q1336" s="376"/>
      <c r="R1336" s="376"/>
    </row>
    <row r="1337" spans="15:18">
      <c r="O1337" s="376"/>
      <c r="P1337" s="376"/>
      <c r="Q1337" s="376"/>
      <c r="R1337" s="376"/>
    </row>
    <row r="1338" spans="15:18">
      <c r="O1338" s="376"/>
      <c r="P1338" s="376"/>
      <c r="Q1338" s="376"/>
      <c r="R1338" s="376"/>
    </row>
    <row r="1339" spans="15:18">
      <c r="O1339" s="376"/>
      <c r="P1339" s="376"/>
      <c r="Q1339" s="376"/>
      <c r="R1339" s="376"/>
    </row>
    <row r="1340" spans="15:18">
      <c r="O1340" s="376"/>
      <c r="P1340" s="376"/>
      <c r="Q1340" s="376"/>
      <c r="R1340" s="376"/>
    </row>
    <row r="1341" spans="15:18">
      <c r="O1341" s="376"/>
      <c r="P1341" s="376"/>
      <c r="Q1341" s="376"/>
      <c r="R1341" s="376"/>
    </row>
    <row r="1342" spans="15:18">
      <c r="O1342" s="376"/>
      <c r="P1342" s="376"/>
      <c r="Q1342" s="376"/>
      <c r="R1342" s="376"/>
    </row>
    <row r="1343" spans="15:18">
      <c r="O1343" s="376"/>
      <c r="P1343" s="376"/>
      <c r="Q1343" s="376"/>
      <c r="R1343" s="376"/>
    </row>
    <row r="1344" spans="15:18">
      <c r="O1344" s="376"/>
      <c r="P1344" s="376"/>
      <c r="Q1344" s="376"/>
      <c r="R1344" s="376"/>
    </row>
    <row r="1345" spans="15:18">
      <c r="O1345" s="376"/>
      <c r="P1345" s="376"/>
      <c r="Q1345" s="376"/>
      <c r="R1345" s="376"/>
    </row>
    <row r="1346" spans="15:18">
      <c r="O1346" s="376"/>
      <c r="P1346" s="376"/>
      <c r="Q1346" s="376"/>
      <c r="R1346" s="376"/>
    </row>
    <row r="1347" spans="15:18">
      <c r="O1347" s="376"/>
      <c r="P1347" s="376"/>
      <c r="Q1347" s="376"/>
      <c r="R1347" s="376"/>
    </row>
    <row r="1348" spans="15:18">
      <c r="O1348" s="376"/>
      <c r="P1348" s="376"/>
      <c r="Q1348" s="376"/>
      <c r="R1348" s="376"/>
    </row>
    <row r="1349" spans="15:18">
      <c r="O1349" s="376"/>
      <c r="P1349" s="376"/>
      <c r="Q1349" s="376"/>
      <c r="R1349" s="376"/>
    </row>
    <row r="1350" spans="15:18">
      <c r="O1350" s="376"/>
      <c r="P1350" s="376"/>
      <c r="Q1350" s="376"/>
      <c r="R1350" s="376"/>
    </row>
    <row r="1351" spans="15:18">
      <c r="O1351" s="376"/>
      <c r="P1351" s="376"/>
      <c r="Q1351" s="376"/>
      <c r="R1351" s="376"/>
    </row>
    <row r="1352" spans="15:18">
      <c r="O1352" s="376"/>
      <c r="P1352" s="376"/>
      <c r="Q1352" s="376"/>
      <c r="R1352" s="376"/>
    </row>
    <row r="1353" spans="15:18">
      <c r="O1353" s="376"/>
      <c r="P1353" s="376"/>
      <c r="Q1353" s="376"/>
      <c r="R1353" s="376"/>
    </row>
    <row r="1354" spans="15:18">
      <c r="O1354" s="376"/>
      <c r="P1354" s="376"/>
      <c r="Q1354" s="376"/>
      <c r="R1354" s="376"/>
    </row>
    <row r="1355" spans="15:18">
      <c r="O1355" s="376"/>
      <c r="P1355" s="376"/>
      <c r="Q1355" s="376"/>
      <c r="R1355" s="376"/>
    </row>
    <row r="1356" spans="15:18">
      <c r="O1356" s="376"/>
      <c r="P1356" s="376"/>
      <c r="Q1356" s="376"/>
      <c r="R1356" s="376"/>
    </row>
    <row r="1357" spans="15:18">
      <c r="O1357" s="376"/>
      <c r="P1357" s="376"/>
      <c r="Q1357" s="376"/>
      <c r="R1357" s="376"/>
    </row>
    <row r="1358" spans="15:18">
      <c r="O1358" s="376"/>
      <c r="P1358" s="376"/>
      <c r="Q1358" s="376"/>
      <c r="R1358" s="376"/>
    </row>
    <row r="1359" spans="15:18">
      <c r="O1359" s="376"/>
      <c r="P1359" s="376"/>
      <c r="Q1359" s="376"/>
      <c r="R1359" s="376"/>
    </row>
    <row r="1360" spans="15:18">
      <c r="O1360" s="376"/>
      <c r="P1360" s="376"/>
      <c r="Q1360" s="376"/>
      <c r="R1360" s="376"/>
    </row>
    <row r="1361" spans="15:18">
      <c r="O1361" s="376"/>
      <c r="P1361" s="376"/>
      <c r="Q1361" s="376"/>
      <c r="R1361" s="376"/>
    </row>
    <row r="1362" spans="15:18">
      <c r="O1362" s="376"/>
      <c r="P1362" s="376"/>
      <c r="Q1362" s="376"/>
      <c r="R1362" s="376"/>
    </row>
    <row r="1363" spans="15:18">
      <c r="O1363" s="376"/>
      <c r="P1363" s="376"/>
      <c r="Q1363" s="376"/>
      <c r="R1363" s="376"/>
    </row>
    <row r="1364" spans="15:18">
      <c r="O1364" s="376"/>
      <c r="P1364" s="376"/>
      <c r="Q1364" s="376"/>
      <c r="R1364" s="376"/>
    </row>
    <row r="1365" spans="15:18">
      <c r="O1365" s="376"/>
      <c r="P1365" s="376"/>
      <c r="Q1365" s="376"/>
      <c r="R1365" s="376"/>
    </row>
    <row r="1366" spans="15:18">
      <c r="O1366" s="376"/>
      <c r="P1366" s="376"/>
      <c r="Q1366" s="376"/>
      <c r="R1366" s="376"/>
    </row>
    <row r="1367" spans="15:18">
      <c r="O1367" s="376"/>
      <c r="P1367" s="376"/>
      <c r="Q1367" s="376"/>
      <c r="R1367" s="376"/>
    </row>
    <row r="1368" spans="15:18">
      <c r="O1368" s="376"/>
      <c r="P1368" s="376"/>
      <c r="Q1368" s="376"/>
      <c r="R1368" s="376"/>
    </row>
    <row r="1369" spans="15:18">
      <c r="O1369" s="376"/>
      <c r="P1369" s="376"/>
      <c r="Q1369" s="376"/>
      <c r="R1369" s="376"/>
    </row>
    <row r="1370" spans="15:18">
      <c r="O1370" s="376"/>
      <c r="P1370" s="376"/>
      <c r="Q1370" s="376"/>
      <c r="R1370" s="376"/>
    </row>
    <row r="1371" spans="15:18">
      <c r="O1371" s="376"/>
      <c r="P1371" s="376"/>
      <c r="Q1371" s="376"/>
      <c r="R1371" s="376"/>
    </row>
    <row r="1372" spans="15:18">
      <c r="O1372" s="376"/>
      <c r="P1372" s="376"/>
      <c r="Q1372" s="376"/>
      <c r="R1372" s="376"/>
    </row>
    <row r="1373" spans="15:18">
      <c r="O1373" s="376"/>
      <c r="P1373" s="376"/>
      <c r="Q1373" s="376"/>
      <c r="R1373" s="376"/>
    </row>
    <row r="1374" spans="15:18">
      <c r="O1374" s="376"/>
      <c r="P1374" s="376"/>
      <c r="Q1374" s="376"/>
      <c r="R1374" s="376"/>
    </row>
    <row r="1375" spans="15:18">
      <c r="O1375" s="376"/>
      <c r="P1375" s="376"/>
      <c r="Q1375" s="376"/>
      <c r="R1375" s="376"/>
    </row>
    <row r="1376" spans="15:18">
      <c r="O1376" s="376"/>
      <c r="P1376" s="376"/>
      <c r="Q1376" s="376"/>
      <c r="R1376" s="376"/>
    </row>
    <row r="1377" spans="15:18">
      <c r="O1377" s="376"/>
      <c r="P1377" s="376"/>
      <c r="Q1377" s="376"/>
      <c r="R1377" s="376"/>
    </row>
    <row r="1378" spans="15:18">
      <c r="O1378" s="376"/>
      <c r="P1378" s="376"/>
      <c r="Q1378" s="376"/>
      <c r="R1378" s="376"/>
    </row>
    <row r="1379" spans="15:18">
      <c r="O1379" s="376"/>
      <c r="P1379" s="376"/>
      <c r="Q1379" s="376"/>
      <c r="R1379" s="376"/>
    </row>
    <row r="1380" spans="15:18">
      <c r="O1380" s="376"/>
      <c r="P1380" s="376"/>
      <c r="Q1380" s="376"/>
      <c r="R1380" s="376"/>
    </row>
    <row r="1381" spans="15:18">
      <c r="O1381" s="376"/>
      <c r="P1381" s="376"/>
      <c r="Q1381" s="376"/>
      <c r="R1381" s="376"/>
    </row>
    <row r="1382" spans="15:18">
      <c r="O1382" s="376"/>
      <c r="P1382" s="376"/>
      <c r="Q1382" s="376"/>
      <c r="R1382" s="376"/>
    </row>
    <row r="1383" spans="15:18">
      <c r="O1383" s="376"/>
      <c r="P1383" s="376"/>
      <c r="Q1383" s="376"/>
      <c r="R1383" s="376"/>
    </row>
    <row r="1384" spans="15:18">
      <c r="O1384" s="376"/>
      <c r="P1384" s="376"/>
      <c r="Q1384" s="376"/>
      <c r="R1384" s="376"/>
    </row>
    <row r="1385" spans="15:18">
      <c r="O1385" s="376"/>
      <c r="P1385" s="376"/>
      <c r="Q1385" s="376"/>
      <c r="R1385" s="376"/>
    </row>
    <row r="1386" spans="15:18">
      <c r="O1386" s="376"/>
      <c r="P1386" s="376"/>
      <c r="Q1386" s="376"/>
      <c r="R1386" s="376"/>
    </row>
    <row r="1387" spans="15:18">
      <c r="O1387" s="376"/>
      <c r="P1387" s="376"/>
      <c r="Q1387" s="376"/>
      <c r="R1387" s="376"/>
    </row>
    <row r="1388" spans="15:18">
      <c r="O1388" s="376"/>
      <c r="P1388" s="376"/>
      <c r="Q1388" s="376"/>
      <c r="R1388" s="376"/>
    </row>
    <row r="1389" spans="15:18">
      <c r="O1389" s="376"/>
      <c r="P1389" s="376"/>
      <c r="Q1389" s="376"/>
      <c r="R1389" s="376"/>
    </row>
    <row r="1390" spans="15:18">
      <c r="O1390" s="376"/>
      <c r="P1390" s="376"/>
      <c r="Q1390" s="376"/>
      <c r="R1390" s="376"/>
    </row>
    <row r="1391" spans="15:18">
      <c r="O1391" s="376"/>
      <c r="P1391" s="376"/>
      <c r="Q1391" s="376"/>
      <c r="R1391" s="376"/>
    </row>
    <row r="1392" spans="15:18">
      <c r="O1392" s="376"/>
      <c r="P1392" s="376"/>
      <c r="Q1392" s="376"/>
      <c r="R1392" s="376"/>
    </row>
    <row r="1393" spans="15:18">
      <c r="O1393" s="376"/>
      <c r="P1393" s="376"/>
      <c r="Q1393" s="376"/>
      <c r="R1393" s="376"/>
    </row>
    <row r="1394" spans="15:18">
      <c r="O1394" s="376"/>
      <c r="P1394" s="376"/>
      <c r="Q1394" s="376"/>
      <c r="R1394" s="376"/>
    </row>
    <row r="1395" spans="15:18">
      <c r="O1395" s="376"/>
      <c r="P1395" s="376"/>
      <c r="Q1395" s="376"/>
      <c r="R1395" s="376"/>
    </row>
    <row r="1396" spans="15:18">
      <c r="O1396" s="376"/>
      <c r="P1396" s="376"/>
      <c r="Q1396" s="376"/>
      <c r="R1396" s="376"/>
    </row>
    <row r="1397" spans="15:18">
      <c r="O1397" s="376"/>
      <c r="P1397" s="376"/>
      <c r="Q1397" s="376"/>
      <c r="R1397" s="376"/>
    </row>
    <row r="1398" spans="15:18">
      <c r="O1398" s="376"/>
      <c r="P1398" s="376"/>
      <c r="Q1398" s="376"/>
      <c r="R1398" s="376"/>
    </row>
    <row r="1399" spans="15:18">
      <c r="O1399" s="376"/>
      <c r="P1399" s="376"/>
      <c r="Q1399" s="376"/>
      <c r="R1399" s="376"/>
    </row>
    <row r="1400" spans="15:18">
      <c r="O1400" s="376"/>
      <c r="P1400" s="376"/>
      <c r="Q1400" s="376"/>
      <c r="R1400" s="376"/>
    </row>
    <row r="1401" spans="15:18">
      <c r="O1401" s="376"/>
      <c r="P1401" s="376"/>
      <c r="Q1401" s="376"/>
      <c r="R1401" s="376"/>
    </row>
    <row r="1402" spans="15:18">
      <c r="O1402" s="376"/>
      <c r="P1402" s="376"/>
      <c r="Q1402" s="376"/>
      <c r="R1402" s="376"/>
    </row>
    <row r="1403" spans="15:18">
      <c r="O1403" s="376"/>
      <c r="P1403" s="376"/>
      <c r="Q1403" s="376"/>
      <c r="R1403" s="376"/>
    </row>
    <row r="1404" spans="15:18">
      <c r="O1404" s="376"/>
      <c r="P1404" s="376"/>
      <c r="Q1404" s="376"/>
      <c r="R1404" s="376"/>
    </row>
    <row r="1405" spans="15:18">
      <c r="O1405" s="376"/>
      <c r="P1405" s="376"/>
      <c r="Q1405" s="376"/>
      <c r="R1405" s="376"/>
    </row>
    <row r="1406" spans="15:18">
      <c r="O1406" s="376"/>
      <c r="P1406" s="376"/>
      <c r="Q1406" s="376"/>
      <c r="R1406" s="376"/>
    </row>
    <row r="1407" spans="15:18">
      <c r="O1407" s="376"/>
      <c r="P1407" s="376"/>
      <c r="Q1407" s="376"/>
      <c r="R1407" s="376"/>
    </row>
    <row r="1408" spans="15:18">
      <c r="O1408" s="376"/>
      <c r="P1408" s="376"/>
      <c r="Q1408" s="376"/>
      <c r="R1408" s="376"/>
    </row>
    <row r="1409" spans="15:18">
      <c r="O1409" s="376"/>
      <c r="P1409" s="376"/>
      <c r="Q1409" s="376"/>
      <c r="R1409" s="376"/>
    </row>
    <row r="1410" spans="15:18">
      <c r="O1410" s="376"/>
      <c r="P1410" s="376"/>
      <c r="Q1410" s="376"/>
      <c r="R1410" s="376"/>
    </row>
    <row r="1411" spans="15:18">
      <c r="O1411" s="376"/>
      <c r="P1411" s="376"/>
      <c r="Q1411" s="376"/>
      <c r="R1411" s="376"/>
    </row>
    <row r="1412" spans="15:18">
      <c r="O1412" s="376"/>
      <c r="P1412" s="376"/>
      <c r="Q1412" s="376"/>
      <c r="R1412" s="376"/>
    </row>
    <row r="1413" spans="15:18">
      <c r="O1413" s="376"/>
      <c r="P1413" s="376"/>
      <c r="Q1413" s="376"/>
      <c r="R1413" s="376"/>
    </row>
    <row r="1414" spans="15:18">
      <c r="O1414" s="376"/>
      <c r="P1414" s="376"/>
      <c r="Q1414" s="376"/>
      <c r="R1414" s="376"/>
    </row>
    <row r="1415" spans="15:18">
      <c r="O1415" s="376"/>
      <c r="P1415" s="376"/>
      <c r="Q1415" s="376"/>
      <c r="R1415" s="376"/>
    </row>
    <row r="1416" spans="15:18">
      <c r="O1416" s="376"/>
      <c r="P1416" s="376"/>
      <c r="Q1416" s="376"/>
      <c r="R1416" s="376"/>
    </row>
    <row r="1417" spans="15:18">
      <c r="O1417" s="376"/>
      <c r="P1417" s="376"/>
      <c r="Q1417" s="376"/>
      <c r="R1417" s="376"/>
    </row>
    <row r="1418" spans="15:18">
      <c r="O1418" s="376"/>
      <c r="P1418" s="376"/>
      <c r="Q1418" s="376"/>
      <c r="R1418" s="376"/>
    </row>
    <row r="1419" spans="15:18">
      <c r="O1419" s="376"/>
      <c r="P1419" s="376"/>
      <c r="Q1419" s="376"/>
      <c r="R1419" s="376"/>
    </row>
    <row r="1420" spans="15:18">
      <c r="O1420" s="376"/>
      <c r="P1420" s="376"/>
      <c r="Q1420" s="376"/>
      <c r="R1420" s="376"/>
    </row>
    <row r="1421" spans="15:18">
      <c r="O1421" s="376"/>
      <c r="P1421" s="376"/>
      <c r="Q1421" s="376"/>
      <c r="R1421" s="376"/>
    </row>
    <row r="1422" spans="15:18">
      <c r="O1422" s="376"/>
      <c r="P1422" s="376"/>
      <c r="Q1422" s="376"/>
      <c r="R1422" s="376"/>
    </row>
    <row r="1423" spans="15:18">
      <c r="O1423" s="376"/>
      <c r="P1423" s="376"/>
      <c r="Q1423" s="376"/>
      <c r="R1423" s="376"/>
    </row>
    <row r="1424" spans="15:18">
      <c r="O1424" s="376"/>
      <c r="P1424" s="376"/>
      <c r="Q1424" s="376"/>
      <c r="R1424" s="376"/>
    </row>
    <row r="1425" spans="15:18">
      <c r="O1425" s="376"/>
      <c r="P1425" s="376"/>
      <c r="Q1425" s="376"/>
      <c r="R1425" s="376"/>
    </row>
    <row r="1426" spans="15:18">
      <c r="O1426" s="376"/>
      <c r="P1426" s="376"/>
      <c r="Q1426" s="376"/>
      <c r="R1426" s="376"/>
    </row>
    <row r="1427" spans="15:18">
      <c r="O1427" s="376"/>
      <c r="P1427" s="376"/>
      <c r="Q1427" s="376"/>
      <c r="R1427" s="376"/>
    </row>
    <row r="1428" spans="15:18">
      <c r="O1428" s="376"/>
      <c r="P1428" s="376"/>
      <c r="Q1428" s="376"/>
      <c r="R1428" s="376"/>
    </row>
    <row r="1429" spans="15:18">
      <c r="O1429" s="376"/>
      <c r="P1429" s="376"/>
      <c r="Q1429" s="376"/>
      <c r="R1429" s="376"/>
    </row>
    <row r="1430" spans="15:18">
      <c r="O1430" s="376"/>
      <c r="P1430" s="376"/>
      <c r="Q1430" s="376"/>
      <c r="R1430" s="376"/>
    </row>
    <row r="1431" spans="15:18">
      <c r="O1431" s="376"/>
      <c r="P1431" s="376"/>
      <c r="Q1431" s="376"/>
      <c r="R1431" s="376"/>
    </row>
    <row r="1432" spans="15:18">
      <c r="O1432" s="376"/>
      <c r="P1432" s="376"/>
      <c r="Q1432" s="376"/>
      <c r="R1432" s="376"/>
    </row>
    <row r="1433" spans="15:18">
      <c r="O1433" s="376"/>
      <c r="P1433" s="376"/>
      <c r="Q1433" s="376"/>
      <c r="R1433" s="376"/>
    </row>
    <row r="1434" spans="15:18">
      <c r="O1434" s="376"/>
      <c r="P1434" s="376"/>
      <c r="Q1434" s="376"/>
      <c r="R1434" s="376"/>
    </row>
    <row r="1435" spans="15:18">
      <c r="O1435" s="376"/>
      <c r="P1435" s="376"/>
      <c r="Q1435" s="376"/>
      <c r="R1435" s="376"/>
    </row>
    <row r="1436" spans="15:18">
      <c r="O1436" s="376"/>
      <c r="P1436" s="376"/>
      <c r="Q1436" s="376"/>
      <c r="R1436" s="376"/>
    </row>
    <row r="1437" spans="15:18">
      <c r="O1437" s="376"/>
      <c r="P1437" s="376"/>
      <c r="Q1437" s="376"/>
      <c r="R1437" s="376"/>
    </row>
    <row r="1438" spans="15:18">
      <c r="O1438" s="376"/>
      <c r="P1438" s="376"/>
      <c r="Q1438" s="376"/>
      <c r="R1438" s="376"/>
    </row>
    <row r="1439" spans="15:18">
      <c r="O1439" s="376"/>
      <c r="P1439" s="376"/>
      <c r="Q1439" s="376"/>
      <c r="R1439" s="376"/>
    </row>
    <row r="1440" spans="15:18">
      <c r="O1440" s="376"/>
      <c r="P1440" s="376"/>
      <c r="Q1440" s="376"/>
      <c r="R1440" s="376"/>
    </row>
    <row r="1441" spans="15:18">
      <c r="O1441" s="376"/>
      <c r="P1441" s="376"/>
      <c r="Q1441" s="376"/>
      <c r="R1441" s="376"/>
    </row>
    <row r="1442" spans="15:18">
      <c r="O1442" s="376"/>
      <c r="P1442" s="376"/>
      <c r="Q1442" s="376"/>
      <c r="R1442" s="376"/>
    </row>
    <row r="1443" spans="15:18">
      <c r="O1443" s="376"/>
      <c r="P1443" s="376"/>
      <c r="Q1443" s="376"/>
      <c r="R1443" s="376"/>
    </row>
    <row r="1444" spans="15:18">
      <c r="O1444" s="376"/>
      <c r="P1444" s="376"/>
      <c r="Q1444" s="376"/>
      <c r="R1444" s="376"/>
    </row>
    <row r="1445" spans="15:18">
      <c r="O1445" s="376"/>
      <c r="P1445" s="376"/>
      <c r="Q1445" s="376"/>
      <c r="R1445" s="376"/>
    </row>
    <row r="1446" spans="15:18">
      <c r="O1446" s="376"/>
      <c r="P1446" s="376"/>
      <c r="Q1446" s="376"/>
      <c r="R1446" s="376"/>
    </row>
    <row r="1447" spans="15:18">
      <c r="O1447" s="376"/>
      <c r="P1447" s="376"/>
      <c r="Q1447" s="376"/>
      <c r="R1447" s="376"/>
    </row>
    <row r="1448" spans="15:18">
      <c r="O1448" s="376"/>
      <c r="P1448" s="376"/>
      <c r="Q1448" s="376"/>
      <c r="R1448" s="376"/>
    </row>
    <row r="1449" spans="15:18">
      <c r="O1449" s="376"/>
      <c r="P1449" s="376"/>
      <c r="Q1449" s="376"/>
      <c r="R1449" s="376"/>
    </row>
    <row r="1450" spans="15:18">
      <c r="O1450" s="376"/>
      <c r="P1450" s="376"/>
      <c r="Q1450" s="376"/>
      <c r="R1450" s="376"/>
    </row>
    <row r="1451" spans="15:18">
      <c r="O1451" s="376"/>
      <c r="P1451" s="376"/>
      <c r="Q1451" s="376"/>
      <c r="R1451" s="376"/>
    </row>
    <row r="1452" spans="15:18">
      <c r="O1452" s="376"/>
      <c r="P1452" s="376"/>
      <c r="Q1452" s="376"/>
      <c r="R1452" s="376"/>
    </row>
    <row r="1453" spans="15:18">
      <c r="O1453" s="376"/>
      <c r="P1453" s="376"/>
      <c r="Q1453" s="376"/>
      <c r="R1453" s="376"/>
    </row>
    <row r="1454" spans="15:18">
      <c r="O1454" s="376"/>
      <c r="P1454" s="376"/>
      <c r="Q1454" s="376"/>
      <c r="R1454" s="376"/>
    </row>
    <row r="1455" spans="15:18">
      <c r="O1455" s="376"/>
      <c r="P1455" s="376"/>
      <c r="Q1455" s="376"/>
      <c r="R1455" s="376"/>
    </row>
    <row r="1456" spans="15:18">
      <c r="O1456" s="376"/>
      <c r="P1456" s="376"/>
      <c r="Q1456" s="376"/>
      <c r="R1456" s="376"/>
    </row>
    <row r="1457" spans="15:18">
      <c r="O1457" s="376"/>
      <c r="P1457" s="376"/>
      <c r="Q1457" s="376"/>
      <c r="R1457" s="376"/>
    </row>
    <row r="1458" spans="15:18">
      <c r="O1458" s="376"/>
      <c r="P1458" s="376"/>
      <c r="Q1458" s="376"/>
      <c r="R1458" s="376"/>
    </row>
    <row r="1459" spans="15:18">
      <c r="O1459" s="376"/>
      <c r="P1459" s="376"/>
      <c r="Q1459" s="376"/>
      <c r="R1459" s="376"/>
    </row>
    <row r="1460" spans="15:18">
      <c r="O1460" s="376"/>
      <c r="P1460" s="376"/>
      <c r="Q1460" s="376"/>
      <c r="R1460" s="376"/>
    </row>
    <row r="1461" spans="15:18">
      <c r="O1461" s="376"/>
      <c r="P1461" s="376"/>
      <c r="Q1461" s="376"/>
      <c r="R1461" s="376"/>
    </row>
    <row r="1462" spans="15:18">
      <c r="O1462" s="376"/>
      <c r="P1462" s="376"/>
      <c r="Q1462" s="376"/>
      <c r="R1462" s="376"/>
    </row>
    <row r="1463" spans="15:18">
      <c r="O1463" s="376"/>
      <c r="P1463" s="376"/>
      <c r="Q1463" s="376"/>
      <c r="R1463" s="376"/>
    </row>
    <row r="1464" spans="15:18">
      <c r="O1464" s="376"/>
      <c r="P1464" s="376"/>
      <c r="Q1464" s="376"/>
      <c r="R1464" s="376"/>
    </row>
    <row r="1465" spans="15:18">
      <c r="O1465" s="376"/>
      <c r="P1465" s="376"/>
      <c r="Q1465" s="376"/>
      <c r="R1465" s="376"/>
    </row>
    <row r="1466" spans="15:18">
      <c r="O1466" s="376"/>
      <c r="P1466" s="376"/>
      <c r="Q1466" s="376"/>
      <c r="R1466" s="376"/>
    </row>
    <row r="1467" spans="15:18">
      <c r="O1467" s="376"/>
      <c r="P1467" s="376"/>
      <c r="Q1467" s="376"/>
      <c r="R1467" s="376"/>
    </row>
    <row r="1468" spans="15:18">
      <c r="O1468" s="376"/>
      <c r="P1468" s="376"/>
      <c r="Q1468" s="376"/>
      <c r="R1468" s="376"/>
    </row>
    <row r="1469" spans="15:18">
      <c r="O1469" s="376"/>
      <c r="P1469" s="376"/>
      <c r="Q1469" s="376"/>
      <c r="R1469" s="376"/>
    </row>
    <row r="1470" spans="15:18">
      <c r="O1470" s="376"/>
      <c r="P1470" s="376"/>
      <c r="Q1470" s="376"/>
      <c r="R1470" s="376"/>
    </row>
    <row r="1471" spans="15:18">
      <c r="O1471" s="376"/>
      <c r="P1471" s="376"/>
      <c r="Q1471" s="376"/>
      <c r="R1471" s="376"/>
    </row>
    <row r="1472" spans="15:18">
      <c r="O1472" s="376"/>
      <c r="P1472" s="376"/>
      <c r="Q1472" s="376"/>
      <c r="R1472" s="376"/>
    </row>
    <row r="1473" spans="15:18">
      <c r="O1473" s="376"/>
      <c r="P1473" s="376"/>
      <c r="Q1473" s="376"/>
      <c r="R1473" s="376"/>
    </row>
    <row r="1474" spans="15:18">
      <c r="O1474" s="376"/>
      <c r="P1474" s="376"/>
      <c r="Q1474" s="376"/>
      <c r="R1474" s="376"/>
    </row>
    <row r="1475" spans="15:18">
      <c r="O1475" s="376"/>
      <c r="P1475" s="376"/>
      <c r="Q1475" s="376"/>
      <c r="R1475" s="376"/>
    </row>
    <row r="1476" spans="15:18">
      <c r="O1476" s="376"/>
      <c r="P1476" s="376"/>
      <c r="Q1476" s="376"/>
      <c r="R1476" s="376"/>
    </row>
    <row r="1477" spans="15:18">
      <c r="O1477" s="376"/>
      <c r="P1477" s="376"/>
      <c r="Q1477" s="376"/>
      <c r="R1477" s="376"/>
    </row>
    <row r="1478" spans="15:18">
      <c r="O1478" s="376"/>
      <c r="P1478" s="376"/>
      <c r="Q1478" s="376"/>
      <c r="R1478" s="376"/>
    </row>
    <row r="1479" spans="15:18">
      <c r="O1479" s="376"/>
      <c r="P1479" s="376"/>
      <c r="Q1479" s="376"/>
      <c r="R1479" s="376"/>
    </row>
    <row r="1480" spans="15:18">
      <c r="O1480" s="376"/>
      <c r="P1480" s="376"/>
      <c r="Q1480" s="376"/>
      <c r="R1480" s="376"/>
    </row>
    <row r="1481" spans="15:18">
      <c r="O1481" s="376"/>
      <c r="P1481" s="376"/>
      <c r="Q1481" s="376"/>
      <c r="R1481" s="376"/>
    </row>
    <row r="1482" spans="15:18">
      <c r="O1482" s="376"/>
      <c r="P1482" s="376"/>
      <c r="Q1482" s="376"/>
      <c r="R1482" s="376"/>
    </row>
    <row r="1483" spans="15:18">
      <c r="O1483" s="376"/>
      <c r="P1483" s="376"/>
      <c r="Q1483" s="376"/>
      <c r="R1483" s="376"/>
    </row>
    <row r="1484" spans="15:18">
      <c r="O1484" s="376"/>
      <c r="P1484" s="376"/>
      <c r="Q1484" s="376"/>
      <c r="R1484" s="376"/>
    </row>
    <row r="1485" spans="15:18">
      <c r="O1485" s="376"/>
      <c r="P1485" s="376"/>
      <c r="Q1485" s="376"/>
      <c r="R1485" s="376"/>
    </row>
    <row r="1486" spans="15:18">
      <c r="O1486" s="376"/>
      <c r="P1486" s="376"/>
      <c r="Q1486" s="376"/>
      <c r="R1486" s="376"/>
    </row>
    <row r="1487" spans="15:18">
      <c r="O1487" s="376"/>
      <c r="P1487" s="376"/>
      <c r="Q1487" s="376"/>
      <c r="R1487" s="376"/>
    </row>
    <row r="1488" spans="15:18">
      <c r="O1488" s="376"/>
      <c r="P1488" s="376"/>
      <c r="Q1488" s="376"/>
      <c r="R1488" s="376"/>
    </row>
    <row r="1489" spans="15:18">
      <c r="O1489" s="376"/>
      <c r="P1489" s="376"/>
      <c r="Q1489" s="376"/>
      <c r="R1489" s="376"/>
    </row>
    <row r="1490" spans="15:18">
      <c r="O1490" s="376"/>
      <c r="P1490" s="376"/>
      <c r="Q1490" s="376"/>
      <c r="R1490" s="376"/>
    </row>
    <row r="1491" spans="15:18">
      <c r="O1491" s="376"/>
      <c r="P1491" s="376"/>
      <c r="Q1491" s="376"/>
      <c r="R1491" s="376"/>
    </row>
    <row r="1492" spans="15:18">
      <c r="O1492" s="376"/>
      <c r="P1492" s="376"/>
      <c r="Q1492" s="376"/>
      <c r="R1492" s="376"/>
    </row>
    <row r="1493" spans="15:18">
      <c r="O1493" s="376"/>
      <c r="P1493" s="376"/>
      <c r="Q1493" s="376"/>
      <c r="R1493" s="376"/>
    </row>
    <row r="1494" spans="15:18">
      <c r="O1494" s="376"/>
      <c r="P1494" s="376"/>
      <c r="Q1494" s="376"/>
      <c r="R1494" s="376"/>
    </row>
    <row r="1495" spans="15:18">
      <c r="O1495" s="376"/>
      <c r="P1495" s="376"/>
      <c r="Q1495" s="376"/>
      <c r="R1495" s="376"/>
    </row>
    <row r="1496" spans="15:18">
      <c r="O1496" s="376"/>
      <c r="P1496" s="376"/>
      <c r="Q1496" s="376"/>
      <c r="R1496" s="376"/>
    </row>
    <row r="1497" spans="15:18">
      <c r="O1497" s="376"/>
      <c r="P1497" s="376"/>
      <c r="Q1497" s="376"/>
      <c r="R1497" s="376"/>
    </row>
    <row r="1498" spans="15:18">
      <c r="O1498" s="376"/>
      <c r="P1498" s="376"/>
      <c r="Q1498" s="376"/>
      <c r="R1498" s="376"/>
    </row>
    <row r="1499" spans="15:18">
      <c r="O1499" s="376"/>
      <c r="P1499" s="376"/>
      <c r="Q1499" s="376"/>
      <c r="R1499" s="376"/>
    </row>
    <row r="1500" spans="15:18">
      <c r="O1500" s="376"/>
      <c r="P1500" s="376"/>
      <c r="Q1500" s="376"/>
      <c r="R1500" s="376"/>
    </row>
    <row r="1501" spans="15:18">
      <c r="O1501" s="376"/>
      <c r="P1501" s="376"/>
      <c r="Q1501" s="376"/>
      <c r="R1501" s="376"/>
    </row>
    <row r="1502" spans="15:18">
      <c r="O1502" s="376"/>
      <c r="P1502" s="376"/>
      <c r="Q1502" s="376"/>
      <c r="R1502" s="376"/>
    </row>
    <row r="1503" spans="15:18">
      <c r="O1503" s="376"/>
      <c r="P1503" s="376"/>
      <c r="Q1503" s="376"/>
      <c r="R1503" s="376"/>
    </row>
    <row r="1504" spans="15:18">
      <c r="O1504" s="376"/>
      <c r="P1504" s="376"/>
      <c r="Q1504" s="376"/>
      <c r="R1504" s="376"/>
    </row>
    <row r="1505" spans="15:18">
      <c r="O1505" s="376"/>
      <c r="P1505" s="376"/>
      <c r="Q1505" s="376"/>
      <c r="R1505" s="376"/>
    </row>
    <row r="1506" spans="15:18">
      <c r="O1506" s="376"/>
      <c r="P1506" s="376"/>
      <c r="Q1506" s="376"/>
      <c r="R1506" s="376"/>
    </row>
    <row r="1507" spans="15:18">
      <c r="O1507" s="376"/>
      <c r="P1507" s="376"/>
      <c r="Q1507" s="376"/>
      <c r="R1507" s="376"/>
    </row>
    <row r="1508" spans="15:18">
      <c r="O1508" s="376"/>
      <c r="P1508" s="376"/>
      <c r="Q1508" s="376"/>
      <c r="R1508" s="376"/>
    </row>
    <row r="1509" spans="15:18">
      <c r="O1509" s="376"/>
      <c r="P1509" s="376"/>
      <c r="Q1509" s="376"/>
      <c r="R1509" s="376"/>
    </row>
    <row r="1510" spans="15:18">
      <c r="O1510" s="376"/>
      <c r="P1510" s="376"/>
      <c r="Q1510" s="376"/>
      <c r="R1510" s="376"/>
    </row>
    <row r="1511" spans="15:18">
      <c r="O1511" s="376"/>
      <c r="P1511" s="376"/>
      <c r="Q1511" s="376"/>
      <c r="R1511" s="376"/>
    </row>
    <row r="1512" spans="15:18">
      <c r="O1512" s="376"/>
      <c r="P1512" s="376"/>
      <c r="Q1512" s="376"/>
      <c r="R1512" s="376"/>
    </row>
    <row r="1513" spans="15:18">
      <c r="O1513" s="376"/>
      <c r="P1513" s="376"/>
      <c r="Q1513" s="376"/>
      <c r="R1513" s="376"/>
    </row>
    <row r="1514" spans="15:18">
      <c r="O1514" s="376"/>
      <c r="P1514" s="376"/>
      <c r="Q1514" s="376"/>
      <c r="R1514" s="376"/>
    </row>
    <row r="1515" spans="15:18">
      <c r="O1515" s="376"/>
      <c r="P1515" s="376"/>
      <c r="Q1515" s="376"/>
      <c r="R1515" s="376"/>
    </row>
    <row r="1516" spans="15:18">
      <c r="O1516" s="376"/>
      <c r="P1516" s="376"/>
      <c r="Q1516" s="376"/>
      <c r="R1516" s="376"/>
    </row>
    <row r="1517" spans="15:18">
      <c r="O1517" s="376"/>
      <c r="P1517" s="376"/>
      <c r="Q1517" s="376"/>
      <c r="R1517" s="376"/>
    </row>
    <row r="1518" spans="15:18">
      <c r="O1518" s="376"/>
      <c r="P1518" s="376"/>
      <c r="Q1518" s="376"/>
      <c r="R1518" s="376"/>
    </row>
    <row r="1519" spans="15:18">
      <c r="O1519" s="376"/>
      <c r="P1519" s="376"/>
      <c r="Q1519" s="376"/>
      <c r="R1519" s="376"/>
    </row>
    <row r="1520" spans="15:18">
      <c r="O1520" s="376"/>
      <c r="P1520" s="376"/>
      <c r="Q1520" s="376"/>
      <c r="R1520" s="376"/>
    </row>
    <row r="1521" spans="15:18">
      <c r="O1521" s="376"/>
      <c r="P1521" s="376"/>
      <c r="Q1521" s="376"/>
      <c r="R1521" s="376"/>
    </row>
    <row r="1522" spans="15:18">
      <c r="O1522" s="376"/>
      <c r="P1522" s="376"/>
      <c r="Q1522" s="376"/>
      <c r="R1522" s="376"/>
    </row>
    <row r="1523" spans="15:18">
      <c r="O1523" s="376"/>
      <c r="P1523" s="376"/>
      <c r="Q1523" s="376"/>
      <c r="R1523" s="376"/>
    </row>
    <row r="1524" spans="15:18">
      <c r="O1524" s="376"/>
      <c r="P1524" s="376"/>
      <c r="Q1524" s="376"/>
      <c r="R1524" s="376"/>
    </row>
    <row r="1525" spans="15:18">
      <c r="O1525" s="376"/>
      <c r="P1525" s="376"/>
      <c r="Q1525" s="376"/>
      <c r="R1525" s="376"/>
    </row>
    <row r="1526" spans="15:18">
      <c r="O1526" s="376"/>
      <c r="P1526" s="376"/>
      <c r="Q1526" s="376"/>
      <c r="R1526" s="376"/>
    </row>
    <row r="1527" spans="15:18">
      <c r="O1527" s="376"/>
      <c r="P1527" s="376"/>
      <c r="Q1527" s="376"/>
      <c r="R1527" s="376"/>
    </row>
    <row r="1528" spans="15:18">
      <c r="O1528" s="376"/>
      <c r="P1528" s="376"/>
      <c r="Q1528" s="376"/>
      <c r="R1528" s="376"/>
    </row>
    <row r="1529" spans="15:18">
      <c r="O1529" s="376"/>
      <c r="P1529" s="376"/>
      <c r="Q1529" s="376"/>
      <c r="R1529" s="376"/>
    </row>
    <row r="1530" spans="15:18">
      <c r="O1530" s="376"/>
      <c r="P1530" s="376"/>
      <c r="Q1530" s="376"/>
      <c r="R1530" s="376"/>
    </row>
    <row r="1531" spans="15:18">
      <c r="O1531" s="376"/>
      <c r="P1531" s="376"/>
      <c r="Q1531" s="376"/>
      <c r="R1531" s="376"/>
    </row>
    <row r="1532" spans="15:18">
      <c r="O1532" s="376"/>
      <c r="P1532" s="376"/>
      <c r="Q1532" s="376"/>
      <c r="R1532" s="376"/>
    </row>
    <row r="1533" spans="15:18">
      <c r="O1533" s="376"/>
      <c r="P1533" s="376"/>
      <c r="Q1533" s="376"/>
      <c r="R1533" s="376"/>
    </row>
    <row r="1534" spans="15:18">
      <c r="O1534" s="376"/>
      <c r="P1534" s="376"/>
      <c r="Q1534" s="376"/>
      <c r="R1534" s="376"/>
    </row>
    <row r="1535" spans="15:18">
      <c r="O1535" s="376"/>
      <c r="P1535" s="376"/>
      <c r="Q1535" s="376"/>
      <c r="R1535" s="376"/>
    </row>
    <row r="1536" spans="15:18">
      <c r="O1536" s="376"/>
      <c r="P1536" s="376"/>
      <c r="Q1536" s="376"/>
      <c r="R1536" s="376"/>
    </row>
    <row r="1537" spans="15:18">
      <c r="O1537" s="376"/>
      <c r="P1537" s="376"/>
      <c r="Q1537" s="376"/>
      <c r="R1537" s="376"/>
    </row>
    <row r="1538" spans="15:18">
      <c r="O1538" s="376"/>
      <c r="P1538" s="376"/>
      <c r="Q1538" s="376"/>
      <c r="R1538" s="376"/>
    </row>
    <row r="1539" spans="15:18">
      <c r="O1539" s="376"/>
      <c r="P1539" s="376"/>
      <c r="Q1539" s="376"/>
      <c r="R1539" s="376"/>
    </row>
    <row r="1540" spans="15:18">
      <c r="O1540" s="376"/>
      <c r="P1540" s="376"/>
      <c r="Q1540" s="376"/>
      <c r="R1540" s="376"/>
    </row>
    <row r="1541" spans="15:18">
      <c r="O1541" s="376"/>
      <c r="P1541" s="376"/>
      <c r="Q1541" s="376"/>
      <c r="R1541" s="376"/>
    </row>
    <row r="1542" spans="15:18">
      <c r="O1542" s="376"/>
      <c r="P1542" s="376"/>
      <c r="Q1542" s="376"/>
      <c r="R1542" s="376"/>
    </row>
    <row r="1543" spans="15:18">
      <c r="O1543" s="376"/>
      <c r="P1543" s="376"/>
      <c r="Q1543" s="376"/>
      <c r="R1543" s="376"/>
    </row>
    <row r="1544" spans="15:18">
      <c r="O1544" s="376"/>
      <c r="P1544" s="376"/>
      <c r="Q1544" s="376"/>
      <c r="R1544" s="376"/>
    </row>
    <row r="1545" spans="15:18">
      <c r="O1545" s="376"/>
      <c r="P1545" s="376"/>
      <c r="Q1545" s="376"/>
      <c r="R1545" s="376"/>
    </row>
    <row r="1546" spans="15:18">
      <c r="O1546" s="376"/>
      <c r="P1546" s="376"/>
      <c r="Q1546" s="376"/>
      <c r="R1546" s="376"/>
    </row>
    <row r="1547" spans="15:18">
      <c r="O1547" s="376"/>
      <c r="P1547" s="376"/>
      <c r="Q1547" s="376"/>
      <c r="R1547" s="376"/>
    </row>
    <row r="1548" spans="15:18">
      <c r="O1548" s="376"/>
      <c r="P1548" s="376"/>
      <c r="Q1548" s="376"/>
      <c r="R1548" s="376"/>
    </row>
    <row r="1549" spans="15:18">
      <c r="O1549" s="376"/>
      <c r="P1549" s="376"/>
      <c r="Q1549" s="376"/>
      <c r="R1549" s="376"/>
    </row>
    <row r="1550" spans="15:18">
      <c r="O1550" s="376"/>
      <c r="P1550" s="376"/>
      <c r="Q1550" s="376"/>
      <c r="R1550" s="376"/>
    </row>
    <row r="1551" spans="15:18">
      <c r="O1551" s="376"/>
      <c r="P1551" s="376"/>
      <c r="Q1551" s="376"/>
      <c r="R1551" s="376"/>
    </row>
    <row r="1552" spans="15:18">
      <c r="O1552" s="376"/>
      <c r="P1552" s="376"/>
      <c r="Q1552" s="376"/>
      <c r="R1552" s="376"/>
    </row>
    <row r="1553" spans="15:18">
      <c r="O1553" s="376"/>
      <c r="P1553" s="376"/>
      <c r="Q1553" s="376"/>
      <c r="R1553" s="376"/>
    </row>
    <row r="1554" spans="15:18">
      <c r="O1554" s="376"/>
      <c r="P1554" s="376"/>
      <c r="Q1554" s="376"/>
      <c r="R1554" s="376"/>
    </row>
    <row r="1555" spans="15:18">
      <c r="O1555" s="376"/>
      <c r="P1555" s="376"/>
      <c r="Q1555" s="376"/>
      <c r="R1555" s="376"/>
    </row>
    <row r="1556" spans="15:18">
      <c r="O1556" s="376"/>
      <c r="P1556" s="376"/>
      <c r="Q1556" s="376"/>
      <c r="R1556" s="376"/>
    </row>
    <row r="1557" spans="15:18">
      <c r="O1557" s="376"/>
      <c r="P1557" s="376"/>
      <c r="Q1557" s="376"/>
      <c r="R1557" s="376"/>
    </row>
    <row r="1558" spans="15:18">
      <c r="O1558" s="376"/>
      <c r="P1558" s="376"/>
      <c r="Q1558" s="376"/>
      <c r="R1558" s="376"/>
    </row>
    <row r="1559" spans="15:18">
      <c r="O1559" s="376"/>
      <c r="P1559" s="376"/>
      <c r="Q1559" s="376"/>
      <c r="R1559" s="376"/>
    </row>
    <row r="1560" spans="15:18">
      <c r="O1560" s="376"/>
      <c r="P1560" s="376"/>
      <c r="Q1560" s="376"/>
      <c r="R1560" s="376"/>
    </row>
    <row r="1561" spans="15:18">
      <c r="O1561" s="376"/>
      <c r="P1561" s="376"/>
      <c r="Q1561" s="376"/>
      <c r="R1561" s="376"/>
    </row>
    <row r="1562" spans="15:18">
      <c r="O1562" s="376"/>
      <c r="P1562" s="376"/>
      <c r="Q1562" s="376"/>
      <c r="R1562" s="376"/>
    </row>
    <row r="1563" spans="15:18">
      <c r="O1563" s="376"/>
      <c r="P1563" s="376"/>
      <c r="Q1563" s="376"/>
      <c r="R1563" s="376"/>
    </row>
    <row r="1564" spans="15:18">
      <c r="O1564" s="376"/>
      <c r="P1564" s="376"/>
      <c r="Q1564" s="376"/>
      <c r="R1564" s="376"/>
    </row>
    <row r="1565" spans="15:18">
      <c r="O1565" s="376"/>
      <c r="P1565" s="376"/>
      <c r="Q1565" s="376"/>
      <c r="R1565" s="376"/>
    </row>
    <row r="1566" spans="15:18">
      <c r="O1566" s="376"/>
      <c r="P1566" s="376"/>
      <c r="Q1566" s="376"/>
      <c r="R1566" s="376"/>
    </row>
    <row r="1567" spans="15:18">
      <c r="O1567" s="376"/>
      <c r="P1567" s="376"/>
      <c r="Q1567" s="376"/>
      <c r="R1567" s="376"/>
    </row>
    <row r="1568" spans="15:18">
      <c r="O1568" s="376"/>
      <c r="P1568" s="376"/>
      <c r="Q1568" s="376"/>
      <c r="R1568" s="376"/>
    </row>
    <row r="1569" spans="15:18">
      <c r="O1569" s="376"/>
      <c r="P1569" s="376"/>
      <c r="Q1569" s="376"/>
      <c r="R1569" s="376"/>
    </row>
    <row r="1570" spans="15:18">
      <c r="O1570" s="376"/>
      <c r="P1570" s="376"/>
      <c r="Q1570" s="376"/>
      <c r="R1570" s="376"/>
    </row>
    <row r="1571" spans="15:18">
      <c r="O1571" s="376"/>
      <c r="P1571" s="376"/>
      <c r="Q1571" s="376"/>
      <c r="R1571" s="376"/>
    </row>
    <row r="1572" spans="15:18">
      <c r="O1572" s="376"/>
      <c r="P1572" s="376"/>
      <c r="Q1572" s="376"/>
      <c r="R1572" s="376"/>
    </row>
    <row r="1573" spans="15:18">
      <c r="O1573" s="376"/>
      <c r="P1573" s="376"/>
      <c r="Q1573" s="376"/>
      <c r="R1573" s="376"/>
    </row>
    <row r="1574" spans="15:18">
      <c r="O1574" s="376"/>
      <c r="P1574" s="376"/>
      <c r="Q1574" s="376"/>
      <c r="R1574" s="376"/>
    </row>
    <row r="1575" spans="15:18">
      <c r="O1575" s="376"/>
      <c r="P1575" s="376"/>
      <c r="Q1575" s="376"/>
      <c r="R1575" s="376"/>
    </row>
    <row r="1576" spans="15:18">
      <c r="O1576" s="376"/>
      <c r="P1576" s="376"/>
      <c r="Q1576" s="376"/>
      <c r="R1576" s="376"/>
    </row>
    <row r="1577" spans="15:18">
      <c r="O1577" s="376"/>
      <c r="P1577" s="376"/>
      <c r="Q1577" s="376"/>
      <c r="R1577" s="376"/>
    </row>
    <row r="1578" spans="15:18">
      <c r="O1578" s="376"/>
      <c r="P1578" s="376"/>
      <c r="Q1578" s="376"/>
      <c r="R1578" s="376"/>
    </row>
    <row r="1579" spans="15:18">
      <c r="O1579" s="376"/>
      <c r="P1579" s="376"/>
      <c r="Q1579" s="376"/>
      <c r="R1579" s="376"/>
    </row>
    <row r="1580" spans="15:18">
      <c r="O1580" s="376"/>
      <c r="P1580" s="376"/>
      <c r="Q1580" s="376"/>
      <c r="R1580" s="376"/>
    </row>
    <row r="1581" spans="15:18">
      <c r="O1581" s="376"/>
      <c r="P1581" s="376"/>
      <c r="Q1581" s="376"/>
      <c r="R1581" s="376"/>
    </row>
    <row r="1582" spans="15:18">
      <c r="O1582" s="376"/>
      <c r="P1582" s="376"/>
      <c r="Q1582" s="376"/>
      <c r="R1582" s="376"/>
    </row>
    <row r="1583" spans="15:18">
      <c r="O1583" s="376"/>
      <c r="P1583" s="376"/>
      <c r="Q1583" s="376"/>
      <c r="R1583" s="376"/>
    </row>
    <row r="1584" spans="15:18">
      <c r="O1584" s="376"/>
      <c r="P1584" s="376"/>
      <c r="Q1584" s="376"/>
      <c r="R1584" s="376"/>
    </row>
    <row r="1585" spans="15:18">
      <c r="O1585" s="376"/>
      <c r="P1585" s="376"/>
      <c r="Q1585" s="376"/>
      <c r="R1585" s="376"/>
    </row>
    <row r="1586" spans="15:18">
      <c r="O1586" s="376"/>
      <c r="P1586" s="376"/>
      <c r="Q1586" s="376"/>
      <c r="R1586" s="376"/>
    </row>
    <row r="1587" spans="15:18">
      <c r="O1587" s="376"/>
      <c r="P1587" s="376"/>
      <c r="Q1587" s="376"/>
      <c r="R1587" s="376"/>
    </row>
    <row r="1588" spans="15:18">
      <c r="O1588" s="376"/>
      <c r="P1588" s="376"/>
      <c r="Q1588" s="376"/>
      <c r="R1588" s="376"/>
    </row>
    <row r="1589" spans="15:18">
      <c r="O1589" s="376"/>
      <c r="P1589" s="376"/>
      <c r="Q1589" s="376"/>
      <c r="R1589" s="376"/>
    </row>
    <row r="1590" spans="15:18">
      <c r="O1590" s="376"/>
      <c r="P1590" s="376"/>
      <c r="Q1590" s="376"/>
      <c r="R1590" s="376"/>
    </row>
    <row r="1591" spans="15:18">
      <c r="O1591" s="376"/>
      <c r="P1591" s="376"/>
      <c r="Q1591" s="376"/>
      <c r="R1591" s="376"/>
    </row>
    <row r="1592" spans="15:18">
      <c r="O1592" s="376"/>
      <c r="P1592" s="376"/>
      <c r="Q1592" s="376"/>
      <c r="R1592" s="376"/>
    </row>
    <row r="1593" spans="15:18">
      <c r="O1593" s="376"/>
      <c r="P1593" s="376"/>
      <c r="Q1593" s="376"/>
      <c r="R1593" s="376"/>
    </row>
    <row r="1594" spans="15:18">
      <c r="O1594" s="376"/>
      <c r="P1594" s="376"/>
      <c r="Q1594" s="376"/>
      <c r="R1594" s="376"/>
    </row>
    <row r="1595" spans="15:18">
      <c r="O1595" s="376"/>
      <c r="P1595" s="376"/>
      <c r="Q1595" s="376"/>
      <c r="R1595" s="376"/>
    </row>
    <row r="1596" spans="15:18">
      <c r="O1596" s="376"/>
      <c r="P1596" s="376"/>
      <c r="Q1596" s="376"/>
      <c r="R1596" s="376"/>
    </row>
    <row r="1597" spans="15:18">
      <c r="O1597" s="376"/>
      <c r="P1597" s="376"/>
      <c r="Q1597" s="376"/>
      <c r="R1597" s="376"/>
    </row>
    <row r="1598" spans="15:18">
      <c r="O1598" s="376"/>
      <c r="P1598" s="376"/>
      <c r="Q1598" s="376"/>
      <c r="R1598" s="376"/>
    </row>
    <row r="1599" spans="15:18">
      <c r="O1599" s="376"/>
      <c r="P1599" s="376"/>
      <c r="Q1599" s="376"/>
      <c r="R1599" s="376"/>
    </row>
    <row r="1600" spans="15:18">
      <c r="O1600" s="376"/>
      <c r="P1600" s="376"/>
      <c r="Q1600" s="376"/>
      <c r="R1600" s="376"/>
    </row>
    <row r="1601" spans="15:18">
      <c r="O1601" s="376"/>
      <c r="P1601" s="376"/>
      <c r="Q1601" s="376"/>
      <c r="R1601" s="376"/>
    </row>
    <row r="1602" spans="15:18">
      <c r="O1602" s="376"/>
      <c r="P1602" s="376"/>
      <c r="Q1602" s="376"/>
      <c r="R1602" s="376"/>
    </row>
    <row r="1603" spans="15:18">
      <c r="O1603" s="376"/>
      <c r="P1603" s="376"/>
      <c r="Q1603" s="376"/>
      <c r="R1603" s="376"/>
    </row>
    <row r="1604" spans="15:18">
      <c r="O1604" s="376"/>
      <c r="P1604" s="376"/>
      <c r="Q1604" s="376"/>
      <c r="R1604" s="376"/>
    </row>
    <row r="1605" spans="15:18">
      <c r="O1605" s="376"/>
      <c r="P1605" s="376"/>
      <c r="Q1605" s="376"/>
      <c r="R1605" s="376"/>
    </row>
    <row r="1606" spans="15:18">
      <c r="O1606" s="376"/>
      <c r="P1606" s="376"/>
      <c r="Q1606" s="376"/>
      <c r="R1606" s="376"/>
    </row>
    <row r="1607" spans="15:18">
      <c r="O1607" s="376"/>
      <c r="P1607" s="376"/>
      <c r="Q1607" s="376"/>
      <c r="R1607" s="376"/>
    </row>
    <row r="1608" spans="15:18">
      <c r="O1608" s="376"/>
      <c r="P1608" s="376"/>
      <c r="Q1608" s="376"/>
      <c r="R1608" s="376"/>
    </row>
    <row r="1609" spans="15:18">
      <c r="O1609" s="376"/>
      <c r="P1609" s="376"/>
      <c r="Q1609" s="376"/>
      <c r="R1609" s="376"/>
    </row>
    <row r="1610" spans="15:18">
      <c r="O1610" s="376"/>
      <c r="P1610" s="376"/>
      <c r="Q1610" s="376"/>
      <c r="R1610" s="376"/>
    </row>
    <row r="1611" spans="15:18">
      <c r="O1611" s="376"/>
      <c r="P1611" s="376"/>
      <c r="Q1611" s="376"/>
      <c r="R1611" s="376"/>
    </row>
    <row r="1612" spans="15:18">
      <c r="O1612" s="376"/>
      <c r="P1612" s="376"/>
      <c r="Q1612" s="376"/>
      <c r="R1612" s="376"/>
    </row>
    <row r="1613" spans="15:18">
      <c r="O1613" s="376"/>
      <c r="P1613" s="376"/>
      <c r="Q1613" s="376"/>
      <c r="R1613" s="376"/>
    </row>
    <row r="1614" spans="15:18">
      <c r="O1614" s="376"/>
      <c r="P1614" s="376"/>
      <c r="Q1614" s="376"/>
      <c r="R1614" s="376"/>
    </row>
    <row r="1615" spans="15:18">
      <c r="O1615" s="376"/>
      <c r="P1615" s="376"/>
      <c r="Q1615" s="376"/>
      <c r="R1615" s="376"/>
    </row>
    <row r="1616" spans="15:18">
      <c r="O1616" s="376"/>
      <c r="P1616" s="376"/>
      <c r="Q1616" s="376"/>
      <c r="R1616" s="376"/>
    </row>
    <row r="1617" spans="15:18">
      <c r="O1617" s="376"/>
      <c r="P1617" s="376"/>
      <c r="Q1617" s="376"/>
      <c r="R1617" s="376"/>
    </row>
    <row r="1618" spans="15:18">
      <c r="O1618" s="376"/>
      <c r="P1618" s="376"/>
      <c r="Q1618" s="376"/>
      <c r="R1618" s="376"/>
    </row>
    <row r="1619" spans="15:18">
      <c r="O1619" s="376"/>
      <c r="P1619" s="376"/>
      <c r="Q1619" s="376"/>
      <c r="R1619" s="376"/>
    </row>
    <row r="1620" spans="15:18">
      <c r="O1620" s="376"/>
      <c r="P1620" s="376"/>
      <c r="Q1620" s="376"/>
      <c r="R1620" s="376"/>
    </row>
    <row r="1621" spans="15:18">
      <c r="O1621" s="376"/>
      <c r="P1621" s="376"/>
      <c r="Q1621" s="376"/>
      <c r="R1621" s="376"/>
    </row>
    <row r="1622" spans="15:18">
      <c r="O1622" s="376"/>
      <c r="P1622" s="376"/>
      <c r="Q1622" s="376"/>
      <c r="R1622" s="376"/>
    </row>
    <row r="1623" spans="15:18">
      <c r="O1623" s="376"/>
      <c r="P1623" s="376"/>
      <c r="Q1623" s="376"/>
      <c r="R1623" s="376"/>
    </row>
    <row r="1624" spans="15:18">
      <c r="O1624" s="376"/>
      <c r="P1624" s="376"/>
      <c r="Q1624" s="376"/>
      <c r="R1624" s="376"/>
    </row>
    <row r="1625" spans="15:18">
      <c r="O1625" s="376"/>
      <c r="P1625" s="376"/>
      <c r="Q1625" s="376"/>
      <c r="R1625" s="376"/>
    </row>
    <row r="1626" spans="15:18">
      <c r="O1626" s="376"/>
      <c r="P1626" s="376"/>
      <c r="Q1626" s="376"/>
      <c r="R1626" s="376"/>
    </row>
    <row r="1627" spans="15:18">
      <c r="O1627" s="376"/>
      <c r="P1627" s="376"/>
      <c r="Q1627" s="376"/>
      <c r="R1627" s="376"/>
    </row>
    <row r="1628" spans="15:18">
      <c r="O1628" s="376"/>
      <c r="P1628" s="376"/>
      <c r="Q1628" s="376"/>
      <c r="R1628" s="376"/>
    </row>
    <row r="1629" spans="15:18">
      <c r="O1629" s="376"/>
      <c r="P1629" s="376"/>
      <c r="Q1629" s="376"/>
      <c r="R1629" s="376"/>
    </row>
    <row r="1630" spans="15:18">
      <c r="O1630" s="376"/>
      <c r="P1630" s="376"/>
      <c r="Q1630" s="376"/>
      <c r="R1630" s="376"/>
    </row>
    <row r="1631" spans="15:18">
      <c r="O1631" s="376"/>
      <c r="P1631" s="376"/>
      <c r="Q1631" s="376"/>
      <c r="R1631" s="376"/>
    </row>
    <row r="1632" spans="15:18">
      <c r="O1632" s="376"/>
      <c r="P1632" s="376"/>
      <c r="Q1632" s="376"/>
      <c r="R1632" s="376"/>
    </row>
    <row r="1633" spans="15:18">
      <c r="O1633" s="376"/>
      <c r="P1633" s="376"/>
      <c r="Q1633" s="376"/>
      <c r="R1633" s="376"/>
    </row>
    <row r="1634" spans="15:18">
      <c r="O1634" s="376"/>
      <c r="P1634" s="376"/>
      <c r="Q1634" s="376"/>
      <c r="R1634" s="376"/>
    </row>
    <row r="1635" spans="15:18">
      <c r="O1635" s="376"/>
      <c r="P1635" s="376"/>
      <c r="Q1635" s="376"/>
      <c r="R1635" s="376"/>
    </row>
    <row r="1636" spans="15:18">
      <c r="O1636" s="376"/>
      <c r="P1636" s="376"/>
      <c r="Q1636" s="376"/>
      <c r="R1636" s="376"/>
    </row>
    <row r="1637" spans="15:18">
      <c r="O1637" s="376"/>
      <c r="P1637" s="376"/>
      <c r="Q1637" s="376"/>
      <c r="R1637" s="376"/>
    </row>
    <row r="1638" spans="15:18">
      <c r="O1638" s="376"/>
      <c r="P1638" s="376"/>
      <c r="Q1638" s="376"/>
      <c r="R1638" s="376"/>
    </row>
    <row r="1639" spans="15:18">
      <c r="O1639" s="376"/>
      <c r="P1639" s="376"/>
      <c r="Q1639" s="376"/>
      <c r="R1639" s="376"/>
    </row>
    <row r="1640" spans="15:18">
      <c r="O1640" s="376"/>
      <c r="P1640" s="376"/>
      <c r="Q1640" s="376"/>
      <c r="R1640" s="376"/>
    </row>
    <row r="1641" spans="15:18">
      <c r="O1641" s="376"/>
      <c r="P1641" s="376"/>
      <c r="Q1641" s="376"/>
      <c r="R1641" s="376"/>
    </row>
    <row r="1642" spans="15:18">
      <c r="O1642" s="376"/>
      <c r="P1642" s="376"/>
      <c r="Q1642" s="376"/>
      <c r="R1642" s="376"/>
    </row>
    <row r="1643" spans="15:18">
      <c r="O1643" s="376"/>
      <c r="P1643" s="376"/>
      <c r="Q1643" s="376"/>
      <c r="R1643" s="376"/>
    </row>
    <row r="1644" spans="15:18">
      <c r="O1644" s="376"/>
      <c r="P1644" s="376"/>
      <c r="Q1644" s="376"/>
      <c r="R1644" s="376"/>
    </row>
    <row r="1645" spans="15:18">
      <c r="O1645" s="376"/>
      <c r="P1645" s="376"/>
      <c r="Q1645" s="376"/>
      <c r="R1645" s="376"/>
    </row>
    <row r="1646" spans="15:18">
      <c r="O1646" s="376"/>
      <c r="P1646" s="376"/>
      <c r="Q1646" s="376"/>
      <c r="R1646" s="376"/>
    </row>
    <row r="1647" spans="15:18">
      <c r="O1647" s="376"/>
      <c r="P1647" s="376"/>
      <c r="Q1647" s="376"/>
      <c r="R1647" s="376"/>
    </row>
    <row r="1648" spans="15:18">
      <c r="O1648" s="376"/>
      <c r="P1648" s="376"/>
      <c r="Q1648" s="376"/>
      <c r="R1648" s="376"/>
    </row>
    <row r="1649" spans="15:18">
      <c r="O1649" s="376"/>
      <c r="P1649" s="376"/>
      <c r="Q1649" s="376"/>
      <c r="R1649" s="376"/>
    </row>
    <row r="1650" spans="15:18">
      <c r="O1650" s="376"/>
      <c r="P1650" s="376"/>
      <c r="Q1650" s="376"/>
      <c r="R1650" s="376"/>
    </row>
    <row r="1651" spans="15:18">
      <c r="O1651" s="376"/>
      <c r="P1651" s="376"/>
      <c r="Q1651" s="376"/>
      <c r="R1651" s="376"/>
    </row>
    <row r="1652" spans="15:18">
      <c r="O1652" s="376"/>
      <c r="P1652" s="376"/>
      <c r="Q1652" s="376"/>
      <c r="R1652" s="376"/>
    </row>
    <row r="1653" spans="15:18">
      <c r="O1653" s="376"/>
      <c r="P1653" s="376"/>
      <c r="Q1653" s="376"/>
      <c r="R1653" s="376"/>
    </row>
    <row r="1654" spans="15:18">
      <c r="O1654" s="376"/>
      <c r="P1654" s="376"/>
      <c r="Q1654" s="376"/>
      <c r="R1654" s="376"/>
    </row>
    <row r="1655" spans="15:18">
      <c r="O1655" s="376"/>
      <c r="P1655" s="376"/>
      <c r="Q1655" s="376"/>
      <c r="R1655" s="376"/>
    </row>
    <row r="1656" spans="15:18">
      <c r="O1656" s="376"/>
      <c r="P1656" s="376"/>
      <c r="Q1656" s="376"/>
      <c r="R1656" s="376"/>
    </row>
    <row r="1657" spans="15:18">
      <c r="O1657" s="376"/>
      <c r="P1657" s="376"/>
      <c r="Q1657" s="376"/>
      <c r="R1657" s="376"/>
    </row>
    <row r="1658" spans="15:18">
      <c r="O1658" s="376"/>
      <c r="P1658" s="376"/>
      <c r="Q1658" s="376"/>
      <c r="R1658" s="376"/>
    </row>
    <row r="1659" spans="15:18">
      <c r="O1659" s="376"/>
      <c r="P1659" s="376"/>
      <c r="Q1659" s="376"/>
      <c r="R1659" s="376"/>
    </row>
    <row r="1660" spans="15:18">
      <c r="O1660" s="376"/>
      <c r="P1660" s="376"/>
      <c r="Q1660" s="376"/>
      <c r="R1660" s="376"/>
    </row>
    <row r="1661" spans="15:18">
      <c r="O1661" s="376"/>
      <c r="P1661" s="376"/>
      <c r="Q1661" s="376"/>
      <c r="R1661" s="376"/>
    </row>
    <row r="1662" spans="15:18">
      <c r="O1662" s="376"/>
      <c r="P1662" s="376"/>
      <c r="Q1662" s="376"/>
      <c r="R1662" s="376"/>
    </row>
    <row r="1663" spans="15:18">
      <c r="O1663" s="376"/>
      <c r="P1663" s="376"/>
      <c r="Q1663" s="376"/>
      <c r="R1663" s="376"/>
    </row>
    <row r="1664" spans="15:18">
      <c r="O1664" s="376"/>
      <c r="P1664" s="376"/>
      <c r="Q1664" s="376"/>
      <c r="R1664" s="376"/>
    </row>
    <row r="1665" spans="15:18">
      <c r="O1665" s="376"/>
      <c r="P1665" s="376"/>
      <c r="Q1665" s="376"/>
      <c r="R1665" s="376"/>
    </row>
    <row r="1666" spans="15:18">
      <c r="O1666" s="376"/>
      <c r="P1666" s="376"/>
      <c r="Q1666" s="376"/>
      <c r="R1666" s="376"/>
    </row>
    <row r="1667" spans="15:18">
      <c r="O1667" s="376"/>
      <c r="P1667" s="376"/>
      <c r="Q1667" s="376"/>
      <c r="R1667" s="376"/>
    </row>
    <row r="1668" spans="15:18">
      <c r="O1668" s="376"/>
      <c r="P1668" s="376"/>
      <c r="Q1668" s="376"/>
      <c r="R1668" s="376"/>
    </row>
    <row r="1669" spans="15:18">
      <c r="O1669" s="376"/>
      <c r="P1669" s="376"/>
      <c r="Q1669" s="376"/>
      <c r="R1669" s="376"/>
    </row>
    <row r="1670" spans="15:18">
      <c r="O1670" s="376"/>
      <c r="P1670" s="376"/>
      <c r="Q1670" s="376"/>
      <c r="R1670" s="376"/>
    </row>
    <row r="1671" spans="15:18">
      <c r="O1671" s="376"/>
      <c r="P1671" s="376"/>
      <c r="Q1671" s="376"/>
      <c r="R1671" s="376"/>
    </row>
    <row r="1672" spans="15:18">
      <c r="O1672" s="376"/>
      <c r="P1672" s="376"/>
      <c r="Q1672" s="376"/>
      <c r="R1672" s="376"/>
    </row>
    <row r="1673" spans="15:18">
      <c r="O1673" s="376"/>
      <c r="P1673" s="376"/>
      <c r="Q1673" s="376"/>
      <c r="R1673" s="376"/>
    </row>
    <row r="1674" spans="15:18">
      <c r="O1674" s="376"/>
      <c r="P1674" s="376"/>
      <c r="Q1674" s="376"/>
      <c r="R1674" s="376"/>
    </row>
    <row r="1675" spans="15:18">
      <c r="O1675" s="376"/>
      <c r="P1675" s="376"/>
      <c r="Q1675" s="376"/>
      <c r="R1675" s="376"/>
    </row>
    <row r="1676" spans="15:18">
      <c r="O1676" s="376"/>
      <c r="P1676" s="376"/>
      <c r="Q1676" s="376"/>
      <c r="R1676" s="376"/>
    </row>
    <row r="1677" spans="15:18">
      <c r="O1677" s="376"/>
      <c r="P1677" s="376"/>
      <c r="Q1677" s="376"/>
      <c r="R1677" s="376"/>
    </row>
    <row r="1678" spans="15:18">
      <c r="O1678" s="376"/>
      <c r="P1678" s="376"/>
      <c r="Q1678" s="376"/>
      <c r="R1678" s="376"/>
    </row>
    <row r="1679" spans="15:18">
      <c r="O1679" s="376"/>
      <c r="P1679" s="376"/>
      <c r="Q1679" s="376"/>
      <c r="R1679" s="376"/>
    </row>
    <row r="1680" spans="15:18">
      <c r="O1680" s="376"/>
      <c r="P1680" s="376"/>
      <c r="Q1680" s="376"/>
      <c r="R1680" s="376"/>
    </row>
    <row r="1681" spans="15:18">
      <c r="O1681" s="376"/>
      <c r="P1681" s="376"/>
      <c r="Q1681" s="376"/>
      <c r="R1681" s="376"/>
    </row>
    <row r="1682" spans="15:18">
      <c r="O1682" s="376"/>
      <c r="P1682" s="376"/>
      <c r="Q1682" s="376"/>
      <c r="R1682" s="376"/>
    </row>
    <row r="1683" spans="15:18">
      <c r="O1683" s="376"/>
      <c r="P1683" s="376"/>
      <c r="Q1683" s="376"/>
      <c r="R1683" s="376"/>
    </row>
    <row r="1684" spans="15:18">
      <c r="O1684" s="376"/>
      <c r="P1684" s="376"/>
      <c r="Q1684" s="376"/>
      <c r="R1684" s="376"/>
    </row>
    <row r="1685" spans="15:18">
      <c r="O1685" s="376"/>
      <c r="P1685" s="376"/>
      <c r="Q1685" s="376"/>
      <c r="R1685" s="376"/>
    </row>
    <row r="1686" spans="15:18">
      <c r="O1686" s="376"/>
      <c r="P1686" s="376"/>
      <c r="Q1686" s="376"/>
      <c r="R1686" s="376"/>
    </row>
    <row r="1687" spans="15:18">
      <c r="O1687" s="376"/>
      <c r="P1687" s="376"/>
      <c r="Q1687" s="376"/>
      <c r="R1687" s="376"/>
    </row>
    <row r="1688" spans="15:18">
      <c r="O1688" s="376"/>
      <c r="P1688" s="376"/>
      <c r="Q1688" s="376"/>
      <c r="R1688" s="376"/>
    </row>
    <row r="1689" spans="15:18">
      <c r="O1689" s="376"/>
      <c r="P1689" s="376"/>
      <c r="Q1689" s="376"/>
      <c r="R1689" s="376"/>
    </row>
    <row r="1690" spans="15:18">
      <c r="O1690" s="376"/>
      <c r="P1690" s="376"/>
      <c r="Q1690" s="376"/>
      <c r="R1690" s="376"/>
    </row>
    <row r="1691" spans="15:18">
      <c r="O1691" s="376"/>
      <c r="P1691" s="376"/>
      <c r="Q1691" s="376"/>
      <c r="R1691" s="376"/>
    </row>
    <row r="1692" spans="15:18">
      <c r="O1692" s="376"/>
      <c r="P1692" s="376"/>
      <c r="Q1692" s="376"/>
      <c r="R1692" s="376"/>
    </row>
    <row r="1693" spans="15:18">
      <c r="O1693" s="376"/>
      <c r="P1693" s="376"/>
      <c r="Q1693" s="376"/>
      <c r="R1693" s="376"/>
    </row>
    <row r="1694" spans="15:18">
      <c r="O1694" s="376"/>
      <c r="P1694" s="376"/>
      <c r="Q1694" s="376"/>
      <c r="R1694" s="376"/>
    </row>
    <row r="1695" spans="15:18">
      <c r="O1695" s="376"/>
      <c r="P1695" s="376"/>
      <c r="Q1695" s="376"/>
      <c r="R1695" s="376"/>
    </row>
    <row r="1696" spans="15:18">
      <c r="O1696" s="376"/>
      <c r="P1696" s="376"/>
      <c r="Q1696" s="376"/>
      <c r="R1696" s="376"/>
    </row>
    <row r="1697" spans="15:18">
      <c r="O1697" s="376"/>
      <c r="P1697" s="376"/>
      <c r="Q1697" s="376"/>
      <c r="R1697" s="376"/>
    </row>
    <row r="1698" spans="15:18">
      <c r="O1698" s="376"/>
      <c r="P1698" s="376"/>
      <c r="Q1698" s="376"/>
      <c r="R1698" s="376"/>
    </row>
    <row r="1699" spans="15:18">
      <c r="O1699" s="376"/>
      <c r="P1699" s="376"/>
      <c r="Q1699" s="376"/>
      <c r="R1699" s="376"/>
    </row>
    <row r="1700" spans="15:18">
      <c r="O1700" s="376"/>
      <c r="P1700" s="376"/>
      <c r="Q1700" s="376"/>
      <c r="R1700" s="376"/>
    </row>
    <row r="1701" spans="15:18">
      <c r="O1701" s="376"/>
      <c r="P1701" s="376"/>
      <c r="Q1701" s="376"/>
      <c r="R1701" s="376"/>
    </row>
    <row r="1702" spans="15:18">
      <c r="O1702" s="376"/>
      <c r="P1702" s="376"/>
      <c r="Q1702" s="376"/>
      <c r="R1702" s="376"/>
    </row>
    <row r="1703" spans="15:18">
      <c r="O1703" s="376"/>
      <c r="P1703" s="376"/>
      <c r="Q1703" s="376"/>
      <c r="R1703" s="376"/>
    </row>
    <row r="1704" spans="15:18">
      <c r="O1704" s="376"/>
      <c r="P1704" s="376"/>
      <c r="Q1704" s="376"/>
      <c r="R1704" s="376"/>
    </row>
    <row r="1705" spans="15:18">
      <c r="O1705" s="376"/>
      <c r="P1705" s="376"/>
      <c r="Q1705" s="376"/>
      <c r="R1705" s="376"/>
    </row>
    <row r="1706" spans="15:18">
      <c r="O1706" s="376"/>
      <c r="P1706" s="376"/>
      <c r="Q1706" s="376"/>
      <c r="R1706" s="376"/>
    </row>
    <row r="1707" spans="15:18">
      <c r="O1707" s="376"/>
      <c r="P1707" s="376"/>
      <c r="Q1707" s="376"/>
      <c r="R1707" s="376"/>
    </row>
    <row r="1708" spans="15:18">
      <c r="O1708" s="376"/>
      <c r="P1708" s="376"/>
      <c r="Q1708" s="376"/>
      <c r="R1708" s="376"/>
    </row>
    <row r="1709" spans="15:18">
      <c r="O1709" s="376"/>
      <c r="P1709" s="376"/>
      <c r="Q1709" s="376"/>
      <c r="R1709" s="376"/>
    </row>
    <row r="1710" spans="15:18">
      <c r="O1710" s="376"/>
      <c r="P1710" s="376"/>
      <c r="Q1710" s="376"/>
      <c r="R1710" s="376"/>
    </row>
    <row r="1711" spans="15:18">
      <c r="O1711" s="376"/>
      <c r="P1711" s="376"/>
      <c r="Q1711" s="376"/>
      <c r="R1711" s="376"/>
    </row>
    <row r="1712" spans="15:18">
      <c r="O1712" s="376"/>
      <c r="P1712" s="376"/>
      <c r="Q1712" s="376"/>
      <c r="R1712" s="376"/>
    </row>
    <row r="1713" spans="15:18">
      <c r="O1713" s="376"/>
      <c r="P1713" s="376"/>
      <c r="Q1713" s="376"/>
      <c r="R1713" s="376"/>
    </row>
    <row r="1714" spans="15:18">
      <c r="O1714" s="376"/>
      <c r="P1714" s="376"/>
      <c r="Q1714" s="376"/>
      <c r="R1714" s="376"/>
    </row>
    <row r="1715" spans="15:18">
      <c r="O1715" s="376"/>
      <c r="P1715" s="376"/>
      <c r="Q1715" s="376"/>
      <c r="R1715" s="376"/>
    </row>
    <row r="1716" spans="15:18">
      <c r="O1716" s="376"/>
      <c r="P1716" s="376"/>
      <c r="Q1716" s="376"/>
      <c r="R1716" s="376"/>
    </row>
    <row r="1717" spans="15:18">
      <c r="O1717" s="376"/>
      <c r="P1717" s="376"/>
      <c r="Q1717" s="376"/>
      <c r="R1717" s="376"/>
    </row>
    <row r="1718" spans="15:18">
      <c r="O1718" s="376"/>
      <c r="P1718" s="376"/>
      <c r="Q1718" s="376"/>
      <c r="R1718" s="376"/>
    </row>
    <row r="1719" spans="15:18">
      <c r="O1719" s="376"/>
      <c r="P1719" s="376"/>
      <c r="Q1719" s="376"/>
      <c r="R1719" s="376"/>
    </row>
    <row r="1720" spans="15:18">
      <c r="O1720" s="376"/>
      <c r="P1720" s="376"/>
      <c r="Q1720" s="376"/>
      <c r="R1720" s="376"/>
    </row>
    <row r="1721" spans="15:18">
      <c r="O1721" s="376"/>
      <c r="P1721" s="376"/>
      <c r="Q1721" s="376"/>
      <c r="R1721" s="376"/>
    </row>
    <row r="1722" spans="15:18">
      <c r="O1722" s="376"/>
      <c r="P1722" s="376"/>
      <c r="Q1722" s="376"/>
      <c r="R1722" s="376"/>
    </row>
    <row r="1723" spans="15:18">
      <c r="O1723" s="376"/>
      <c r="P1723" s="376"/>
      <c r="Q1723" s="376"/>
      <c r="R1723" s="376"/>
    </row>
    <row r="1724" spans="15:18">
      <c r="O1724" s="376"/>
      <c r="P1724" s="376"/>
      <c r="Q1724" s="376"/>
      <c r="R1724" s="376"/>
    </row>
    <row r="1725" spans="15:18">
      <c r="O1725" s="376"/>
      <c r="P1725" s="376"/>
      <c r="Q1725" s="376"/>
      <c r="R1725" s="376"/>
    </row>
    <row r="1726" spans="15:18">
      <c r="O1726" s="376"/>
      <c r="P1726" s="376"/>
      <c r="Q1726" s="376"/>
      <c r="R1726" s="376"/>
    </row>
    <row r="1727" spans="15:18">
      <c r="O1727" s="376"/>
      <c r="P1727" s="376"/>
      <c r="Q1727" s="376"/>
      <c r="R1727" s="376"/>
    </row>
    <row r="1728" spans="15:18">
      <c r="O1728" s="376"/>
      <c r="P1728" s="376"/>
      <c r="Q1728" s="376"/>
      <c r="R1728" s="376"/>
    </row>
    <row r="1729" spans="15:18">
      <c r="O1729" s="376"/>
      <c r="P1729" s="376"/>
      <c r="Q1729" s="376"/>
      <c r="R1729" s="376"/>
    </row>
    <row r="1730" spans="15:18">
      <c r="O1730" s="376"/>
      <c r="P1730" s="376"/>
      <c r="Q1730" s="376"/>
      <c r="R1730" s="376"/>
    </row>
    <row r="1731" spans="15:18">
      <c r="O1731" s="376"/>
      <c r="P1731" s="376"/>
      <c r="Q1731" s="376"/>
      <c r="R1731" s="376"/>
    </row>
    <row r="1732" spans="15:18">
      <c r="O1732" s="376"/>
      <c r="P1732" s="376"/>
      <c r="Q1732" s="376"/>
      <c r="R1732" s="376"/>
    </row>
    <row r="1733" spans="15:18">
      <c r="O1733" s="376"/>
      <c r="P1733" s="376"/>
      <c r="Q1733" s="376"/>
      <c r="R1733" s="376"/>
    </row>
    <row r="1734" spans="15:18">
      <c r="O1734" s="376"/>
      <c r="P1734" s="376"/>
      <c r="Q1734" s="376"/>
      <c r="R1734" s="376"/>
    </row>
    <row r="1735" spans="15:18">
      <c r="O1735" s="376"/>
      <c r="P1735" s="376"/>
      <c r="Q1735" s="376"/>
      <c r="R1735" s="376"/>
    </row>
    <row r="1736" spans="15:18">
      <c r="O1736" s="376"/>
      <c r="P1736" s="376"/>
      <c r="Q1736" s="376"/>
      <c r="R1736" s="376"/>
    </row>
    <row r="1737" spans="15:18">
      <c r="O1737" s="376"/>
      <c r="P1737" s="376"/>
      <c r="Q1737" s="376"/>
      <c r="R1737" s="376"/>
    </row>
    <row r="1738" spans="15:18">
      <c r="O1738" s="376"/>
      <c r="P1738" s="376"/>
      <c r="Q1738" s="376"/>
      <c r="R1738" s="376"/>
    </row>
    <row r="1739" spans="15:18">
      <c r="O1739" s="376"/>
      <c r="P1739" s="376"/>
      <c r="Q1739" s="376"/>
      <c r="R1739" s="376"/>
    </row>
    <row r="1740" spans="15:18">
      <c r="O1740" s="376"/>
      <c r="P1740" s="376"/>
      <c r="Q1740" s="376"/>
      <c r="R1740" s="376"/>
    </row>
    <row r="1741" spans="15:18">
      <c r="O1741" s="376"/>
      <c r="P1741" s="376"/>
      <c r="Q1741" s="376"/>
      <c r="R1741" s="376"/>
    </row>
    <row r="1742" spans="15:18">
      <c r="O1742" s="376"/>
      <c r="P1742" s="376"/>
      <c r="Q1742" s="376"/>
      <c r="R1742" s="376"/>
    </row>
    <row r="1743" spans="15:18">
      <c r="O1743" s="376"/>
      <c r="P1743" s="376"/>
      <c r="Q1743" s="376"/>
      <c r="R1743" s="376"/>
    </row>
    <row r="1744" spans="15:18">
      <c r="O1744" s="376"/>
      <c r="P1744" s="376"/>
      <c r="Q1744" s="376"/>
      <c r="R1744" s="376"/>
    </row>
    <row r="1745" spans="15:18">
      <c r="O1745" s="376"/>
      <c r="P1745" s="376"/>
      <c r="Q1745" s="376"/>
      <c r="R1745" s="376"/>
    </row>
    <row r="1746" spans="15:18">
      <c r="O1746" s="376"/>
      <c r="P1746" s="376"/>
      <c r="Q1746" s="376"/>
      <c r="R1746" s="376"/>
    </row>
    <row r="1747" spans="15:18">
      <c r="O1747" s="376"/>
      <c r="P1747" s="376"/>
      <c r="Q1747" s="376"/>
      <c r="R1747" s="376"/>
    </row>
    <row r="1748" spans="15:18">
      <c r="O1748" s="376"/>
      <c r="P1748" s="376"/>
      <c r="Q1748" s="376"/>
      <c r="R1748" s="376"/>
    </row>
    <row r="1749" spans="15:18">
      <c r="O1749" s="376"/>
      <c r="P1749" s="376"/>
      <c r="Q1749" s="376"/>
      <c r="R1749" s="376"/>
    </row>
    <row r="1750" spans="15:18">
      <c r="O1750" s="376"/>
      <c r="P1750" s="376"/>
      <c r="Q1750" s="376"/>
      <c r="R1750" s="376"/>
    </row>
    <row r="1751" spans="15:18">
      <c r="O1751" s="376"/>
      <c r="P1751" s="376"/>
      <c r="Q1751" s="376"/>
      <c r="R1751" s="376"/>
    </row>
    <row r="1752" spans="15:18">
      <c r="O1752" s="376"/>
      <c r="P1752" s="376"/>
      <c r="Q1752" s="376"/>
      <c r="R1752" s="376"/>
    </row>
    <row r="1753" spans="15:18">
      <c r="O1753" s="376"/>
      <c r="P1753" s="376"/>
      <c r="Q1753" s="376"/>
      <c r="R1753" s="376"/>
    </row>
    <row r="1754" spans="15:18">
      <c r="O1754" s="376"/>
      <c r="P1754" s="376"/>
      <c r="Q1754" s="376"/>
      <c r="R1754" s="376"/>
    </row>
    <row r="1755" spans="15:18">
      <c r="O1755" s="376"/>
      <c r="P1755" s="376"/>
      <c r="Q1755" s="376"/>
      <c r="R1755" s="376"/>
    </row>
    <row r="1756" spans="15:18">
      <c r="O1756" s="376"/>
      <c r="P1756" s="376"/>
      <c r="Q1756" s="376"/>
      <c r="R1756" s="376"/>
    </row>
    <row r="1757" spans="15:18">
      <c r="O1757" s="376"/>
      <c r="P1757" s="376"/>
      <c r="Q1757" s="376"/>
      <c r="R1757" s="376"/>
    </row>
    <row r="1758" spans="15:18">
      <c r="O1758" s="376"/>
      <c r="P1758" s="376"/>
      <c r="Q1758" s="376"/>
      <c r="R1758" s="376"/>
    </row>
    <row r="1759" spans="15:18">
      <c r="O1759" s="376"/>
      <c r="P1759" s="376"/>
      <c r="Q1759" s="376"/>
      <c r="R1759" s="376"/>
    </row>
    <row r="1760" spans="15:18">
      <c r="O1760" s="376"/>
      <c r="P1760" s="376"/>
      <c r="Q1760" s="376"/>
      <c r="R1760" s="376"/>
    </row>
    <row r="1761" spans="15:18">
      <c r="O1761" s="376"/>
      <c r="P1761" s="376"/>
      <c r="Q1761" s="376"/>
      <c r="R1761" s="376"/>
    </row>
    <row r="1762" spans="15:18">
      <c r="O1762" s="376"/>
      <c r="P1762" s="376"/>
      <c r="Q1762" s="376"/>
      <c r="R1762" s="376"/>
    </row>
    <row r="1763" spans="15:18">
      <c r="O1763" s="376"/>
      <c r="P1763" s="376"/>
      <c r="Q1763" s="376"/>
      <c r="R1763" s="376"/>
    </row>
    <row r="1764" spans="15:18">
      <c r="O1764" s="376"/>
      <c r="P1764" s="376"/>
      <c r="Q1764" s="376"/>
      <c r="R1764" s="376"/>
    </row>
    <row r="1765" spans="15:18">
      <c r="O1765" s="376"/>
      <c r="P1765" s="376"/>
      <c r="Q1765" s="376"/>
      <c r="R1765" s="376"/>
    </row>
    <row r="1766" spans="15:18">
      <c r="O1766" s="376"/>
      <c r="P1766" s="376"/>
      <c r="Q1766" s="376"/>
      <c r="R1766" s="376"/>
    </row>
    <row r="1767" spans="15:18">
      <c r="O1767" s="376"/>
      <c r="P1767" s="376"/>
      <c r="Q1767" s="376"/>
      <c r="R1767" s="376"/>
    </row>
    <row r="1768" spans="15:18">
      <c r="O1768" s="376"/>
      <c r="P1768" s="376"/>
      <c r="Q1768" s="376"/>
      <c r="R1768" s="376"/>
    </row>
    <row r="1769" spans="15:18">
      <c r="O1769" s="376"/>
      <c r="P1769" s="376"/>
      <c r="Q1769" s="376"/>
      <c r="R1769" s="376"/>
    </row>
    <row r="1770" spans="15:18">
      <c r="O1770" s="376"/>
      <c r="P1770" s="376"/>
      <c r="Q1770" s="376"/>
      <c r="R1770" s="376"/>
    </row>
    <row r="1771" spans="15:18">
      <c r="O1771" s="376"/>
      <c r="P1771" s="376"/>
      <c r="Q1771" s="376"/>
      <c r="R1771" s="376"/>
    </row>
    <row r="1772" spans="15:18">
      <c r="O1772" s="376"/>
      <c r="P1772" s="376"/>
      <c r="Q1772" s="376"/>
      <c r="R1772" s="376"/>
    </row>
    <row r="1773" spans="15:18">
      <c r="O1773" s="376"/>
      <c r="P1773" s="376"/>
      <c r="Q1773" s="376"/>
      <c r="R1773" s="376"/>
    </row>
    <row r="1774" spans="15:18">
      <c r="O1774" s="376"/>
      <c r="P1774" s="376"/>
      <c r="Q1774" s="376"/>
      <c r="R1774" s="376"/>
    </row>
    <row r="1775" spans="15:18">
      <c r="O1775" s="376"/>
      <c r="P1775" s="376"/>
      <c r="Q1775" s="376"/>
      <c r="R1775" s="376"/>
    </row>
    <row r="1776" spans="15:18">
      <c r="O1776" s="376"/>
      <c r="P1776" s="376"/>
      <c r="Q1776" s="376"/>
      <c r="R1776" s="376"/>
    </row>
    <row r="1777" spans="15:18">
      <c r="O1777" s="376"/>
      <c r="P1777" s="376"/>
      <c r="Q1777" s="376"/>
      <c r="R1777" s="376"/>
    </row>
    <row r="1778" spans="15:18">
      <c r="O1778" s="376"/>
      <c r="P1778" s="376"/>
      <c r="Q1778" s="376"/>
      <c r="R1778" s="376"/>
    </row>
    <row r="1779" spans="15:18">
      <c r="O1779" s="376"/>
      <c r="P1779" s="376"/>
      <c r="Q1779" s="376"/>
      <c r="R1779" s="376"/>
    </row>
    <row r="1780" spans="15:18">
      <c r="O1780" s="376"/>
      <c r="P1780" s="376"/>
      <c r="Q1780" s="376"/>
      <c r="R1780" s="376"/>
    </row>
    <row r="1781" spans="15:18">
      <c r="O1781" s="376"/>
      <c r="P1781" s="376"/>
      <c r="Q1781" s="376"/>
      <c r="R1781" s="376"/>
    </row>
    <row r="1782" spans="15:18">
      <c r="O1782" s="376"/>
      <c r="P1782" s="376"/>
      <c r="Q1782" s="376"/>
      <c r="R1782" s="376"/>
    </row>
    <row r="1783" spans="15:18">
      <c r="O1783" s="376"/>
      <c r="P1783" s="376"/>
      <c r="Q1783" s="376"/>
      <c r="R1783" s="376"/>
    </row>
    <row r="1784" spans="15:18">
      <c r="O1784" s="376"/>
      <c r="P1784" s="376"/>
      <c r="Q1784" s="376"/>
      <c r="R1784" s="376"/>
    </row>
    <row r="1785" spans="15:18">
      <c r="O1785" s="376"/>
      <c r="P1785" s="376"/>
      <c r="Q1785" s="376"/>
      <c r="R1785" s="376"/>
    </row>
    <row r="1786" spans="15:18">
      <c r="O1786" s="376"/>
      <c r="P1786" s="376"/>
      <c r="Q1786" s="376"/>
      <c r="R1786" s="376"/>
    </row>
    <row r="1787" spans="15:18">
      <c r="O1787" s="376"/>
      <c r="P1787" s="376"/>
      <c r="Q1787" s="376"/>
      <c r="R1787" s="376"/>
    </row>
    <row r="1788" spans="15:18">
      <c r="O1788" s="376"/>
      <c r="P1788" s="376"/>
      <c r="Q1788" s="376"/>
      <c r="R1788" s="376"/>
    </row>
    <row r="1789" spans="15:18">
      <c r="O1789" s="376"/>
      <c r="P1789" s="376"/>
      <c r="Q1789" s="376"/>
      <c r="R1789" s="376"/>
    </row>
    <row r="1790" spans="15:18">
      <c r="O1790" s="376"/>
      <c r="P1790" s="376"/>
      <c r="Q1790" s="376"/>
      <c r="R1790" s="376"/>
    </row>
    <row r="1791" spans="15:18">
      <c r="O1791" s="376"/>
      <c r="P1791" s="376"/>
      <c r="Q1791" s="376"/>
      <c r="R1791" s="376"/>
    </row>
    <row r="1792" spans="15:18">
      <c r="O1792" s="376"/>
      <c r="P1792" s="376"/>
      <c r="Q1792" s="376"/>
      <c r="R1792" s="376"/>
    </row>
    <row r="1793" spans="15:18">
      <c r="O1793" s="376"/>
      <c r="P1793" s="376"/>
      <c r="Q1793" s="376"/>
      <c r="R1793" s="376"/>
    </row>
    <row r="1794" spans="15:18">
      <c r="O1794" s="376"/>
      <c r="P1794" s="376"/>
      <c r="Q1794" s="376"/>
      <c r="R1794" s="376"/>
    </row>
    <row r="1795" spans="15:18">
      <c r="O1795" s="376"/>
      <c r="P1795" s="376"/>
      <c r="Q1795" s="376"/>
      <c r="R1795" s="376"/>
    </row>
    <row r="1796" spans="15:18">
      <c r="O1796" s="376"/>
      <c r="P1796" s="376"/>
      <c r="Q1796" s="376"/>
      <c r="R1796" s="376"/>
    </row>
    <row r="1797" spans="15:18">
      <c r="O1797" s="376"/>
      <c r="P1797" s="376"/>
      <c r="Q1797" s="376"/>
      <c r="R1797" s="376"/>
    </row>
    <row r="1798" spans="15:18">
      <c r="O1798" s="376"/>
      <c r="P1798" s="376"/>
      <c r="Q1798" s="376"/>
      <c r="R1798" s="376"/>
    </row>
    <row r="1799" spans="15:18">
      <c r="O1799" s="376"/>
      <c r="P1799" s="376"/>
      <c r="Q1799" s="376"/>
      <c r="R1799" s="376"/>
    </row>
    <row r="1800" spans="15:18">
      <c r="O1800" s="376"/>
      <c r="P1800" s="376"/>
      <c r="Q1800" s="376"/>
      <c r="R1800" s="376"/>
    </row>
    <row r="1801" spans="15:18">
      <c r="O1801" s="376"/>
      <c r="P1801" s="376"/>
      <c r="Q1801" s="376"/>
      <c r="R1801" s="376"/>
    </row>
    <row r="1802" spans="15:18">
      <c r="O1802" s="376"/>
      <c r="P1802" s="376"/>
      <c r="Q1802" s="376"/>
      <c r="R1802" s="376"/>
    </row>
    <row r="1803" spans="15:18">
      <c r="O1803" s="376"/>
      <c r="P1803" s="376"/>
      <c r="Q1803" s="376"/>
      <c r="R1803" s="376"/>
    </row>
    <row r="1804" spans="15:18">
      <c r="O1804" s="376"/>
      <c r="P1804" s="376"/>
      <c r="Q1804" s="376"/>
      <c r="R1804" s="376"/>
    </row>
    <row r="1805" spans="15:18">
      <c r="O1805" s="376"/>
      <c r="P1805" s="376"/>
      <c r="Q1805" s="376"/>
      <c r="R1805" s="376"/>
    </row>
    <row r="1806" spans="15:18">
      <c r="O1806" s="376"/>
      <c r="P1806" s="376"/>
      <c r="Q1806" s="376"/>
      <c r="R1806" s="376"/>
    </row>
    <row r="1807" spans="15:18">
      <c r="O1807" s="376"/>
      <c r="P1807" s="376"/>
      <c r="Q1807" s="376"/>
      <c r="R1807" s="376"/>
    </row>
    <row r="1808" spans="15:18">
      <c r="O1808" s="376"/>
      <c r="P1808" s="376"/>
      <c r="Q1808" s="376"/>
      <c r="R1808" s="376"/>
    </row>
    <row r="1809" spans="15:18">
      <c r="O1809" s="376"/>
      <c r="P1809" s="376"/>
      <c r="Q1809" s="376"/>
      <c r="R1809" s="376"/>
    </row>
    <row r="1810" spans="15:18">
      <c r="O1810" s="376"/>
      <c r="P1810" s="376"/>
      <c r="Q1810" s="376"/>
      <c r="R1810" s="376"/>
    </row>
    <row r="1811" spans="15:18">
      <c r="O1811" s="376"/>
      <c r="P1811" s="376"/>
      <c r="Q1811" s="376"/>
      <c r="R1811" s="376"/>
    </row>
    <row r="1812" spans="15:18">
      <c r="O1812" s="376"/>
      <c r="P1812" s="376"/>
      <c r="Q1812" s="376"/>
      <c r="R1812" s="376"/>
    </row>
    <row r="1813" spans="15:18">
      <c r="O1813" s="376"/>
      <c r="P1813" s="376"/>
      <c r="Q1813" s="376"/>
      <c r="R1813" s="376"/>
    </row>
    <row r="1814" spans="15:18">
      <c r="O1814" s="376"/>
      <c r="P1814" s="376"/>
      <c r="Q1814" s="376"/>
      <c r="R1814" s="376"/>
    </row>
    <row r="1815" spans="15:18">
      <c r="O1815" s="376"/>
      <c r="P1815" s="376"/>
      <c r="Q1815" s="376"/>
      <c r="R1815" s="376"/>
    </row>
    <row r="1816" spans="15:18">
      <c r="O1816" s="376"/>
      <c r="P1816" s="376"/>
      <c r="Q1816" s="376"/>
      <c r="R1816" s="376"/>
    </row>
    <row r="1817" spans="15:18">
      <c r="O1817" s="376"/>
      <c r="P1817" s="376"/>
      <c r="Q1817" s="376"/>
      <c r="R1817" s="376"/>
    </row>
    <row r="1818" spans="15:18">
      <c r="O1818" s="376"/>
      <c r="P1818" s="376"/>
      <c r="Q1818" s="376"/>
      <c r="R1818" s="376"/>
    </row>
    <row r="1819" spans="15:18">
      <c r="O1819" s="376"/>
      <c r="P1819" s="376"/>
      <c r="Q1819" s="376"/>
      <c r="R1819" s="376"/>
    </row>
    <row r="1820" spans="15:18">
      <c r="O1820" s="376"/>
      <c r="P1820" s="376"/>
      <c r="Q1820" s="376"/>
      <c r="R1820" s="376"/>
    </row>
    <row r="1821" spans="15:18">
      <c r="O1821" s="376"/>
      <c r="P1821" s="376"/>
      <c r="Q1821" s="376"/>
      <c r="R1821" s="376"/>
    </row>
    <row r="1822" spans="15:18">
      <c r="O1822" s="376"/>
      <c r="P1822" s="376"/>
      <c r="Q1822" s="376"/>
      <c r="R1822" s="376"/>
    </row>
    <row r="1823" spans="15:18">
      <c r="O1823" s="376"/>
      <c r="P1823" s="376"/>
      <c r="Q1823" s="376"/>
      <c r="R1823" s="376"/>
    </row>
    <row r="1824" spans="15:18">
      <c r="O1824" s="376"/>
      <c r="P1824" s="376"/>
      <c r="Q1824" s="376"/>
      <c r="R1824" s="376"/>
    </row>
    <row r="1825" spans="15:18">
      <c r="O1825" s="376"/>
      <c r="P1825" s="376"/>
      <c r="Q1825" s="376"/>
      <c r="R1825" s="376"/>
    </row>
    <row r="1826" spans="15:18">
      <c r="O1826" s="376"/>
      <c r="P1826" s="376"/>
      <c r="Q1826" s="376"/>
      <c r="R1826" s="376"/>
    </row>
    <row r="1827" spans="15:18">
      <c r="O1827" s="376"/>
      <c r="P1827" s="376"/>
      <c r="Q1827" s="376"/>
      <c r="R1827" s="376"/>
    </row>
    <row r="1828" spans="15:18">
      <c r="O1828" s="376"/>
      <c r="P1828" s="376"/>
      <c r="Q1828" s="376"/>
      <c r="R1828" s="376"/>
    </row>
    <row r="1829" spans="15:18">
      <c r="O1829" s="376"/>
      <c r="P1829" s="376"/>
      <c r="Q1829" s="376"/>
      <c r="R1829" s="376"/>
    </row>
    <row r="1830" spans="15:18">
      <c r="O1830" s="376"/>
      <c r="P1830" s="376"/>
      <c r="Q1830" s="376"/>
      <c r="R1830" s="376"/>
    </row>
    <row r="1831" spans="15:18">
      <c r="O1831" s="376"/>
      <c r="P1831" s="376"/>
      <c r="Q1831" s="376"/>
      <c r="R1831" s="376"/>
    </row>
    <row r="1832" spans="15:18">
      <c r="O1832" s="376"/>
      <c r="P1832" s="376"/>
      <c r="Q1832" s="376"/>
      <c r="R1832" s="376"/>
    </row>
    <row r="1833" spans="15:18">
      <c r="O1833" s="376"/>
      <c r="P1833" s="376"/>
      <c r="Q1833" s="376"/>
      <c r="R1833" s="376"/>
    </row>
    <row r="1834" spans="15:18">
      <c r="O1834" s="376"/>
      <c r="P1834" s="376"/>
      <c r="Q1834" s="376"/>
      <c r="R1834" s="376"/>
    </row>
    <row r="1835" spans="15:18">
      <c r="O1835" s="376"/>
      <c r="P1835" s="376"/>
      <c r="Q1835" s="376"/>
      <c r="R1835" s="376"/>
    </row>
    <row r="1836" spans="15:18">
      <c r="O1836" s="376"/>
      <c r="P1836" s="376"/>
      <c r="Q1836" s="376"/>
      <c r="R1836" s="376"/>
    </row>
    <row r="1837" spans="15:18">
      <c r="O1837" s="376"/>
      <c r="P1837" s="376"/>
      <c r="Q1837" s="376"/>
      <c r="R1837" s="376"/>
    </row>
    <row r="1838" spans="15:18">
      <c r="O1838" s="376"/>
      <c r="P1838" s="376"/>
      <c r="Q1838" s="376"/>
      <c r="R1838" s="376"/>
    </row>
    <row r="1839" spans="15:18">
      <c r="O1839" s="376"/>
      <c r="P1839" s="376"/>
      <c r="Q1839" s="376"/>
      <c r="R1839" s="376"/>
    </row>
    <row r="1840" spans="15:18">
      <c r="O1840" s="376"/>
      <c r="P1840" s="376"/>
      <c r="Q1840" s="376"/>
      <c r="R1840" s="376"/>
    </row>
    <row r="1841" spans="15:18">
      <c r="O1841" s="376"/>
      <c r="P1841" s="376"/>
      <c r="Q1841" s="376"/>
      <c r="R1841" s="376"/>
    </row>
    <row r="1842" spans="15:18">
      <c r="O1842" s="376"/>
      <c r="P1842" s="376"/>
      <c r="Q1842" s="376"/>
      <c r="R1842" s="376"/>
    </row>
    <row r="1843" spans="15:18">
      <c r="O1843" s="376"/>
      <c r="P1843" s="376"/>
      <c r="Q1843" s="376"/>
      <c r="R1843" s="376"/>
    </row>
    <row r="1844" spans="15:18">
      <c r="O1844" s="376"/>
      <c r="P1844" s="376"/>
      <c r="Q1844" s="376"/>
      <c r="R1844" s="376"/>
    </row>
    <row r="1845" spans="15:18">
      <c r="O1845" s="376"/>
      <c r="P1845" s="376"/>
      <c r="Q1845" s="376"/>
      <c r="R1845" s="376"/>
    </row>
    <row r="1846" spans="15:18">
      <c r="O1846" s="376"/>
      <c r="P1846" s="376"/>
      <c r="Q1846" s="376"/>
      <c r="R1846" s="376"/>
    </row>
    <row r="1847" spans="15:18">
      <c r="O1847" s="376"/>
      <c r="P1847" s="376"/>
      <c r="Q1847" s="376"/>
      <c r="R1847" s="376"/>
    </row>
    <row r="1848" spans="15:18">
      <c r="O1848" s="376"/>
      <c r="P1848" s="376"/>
      <c r="Q1848" s="376"/>
      <c r="R1848" s="376"/>
    </row>
    <row r="1849" spans="15:18">
      <c r="O1849" s="376"/>
      <c r="P1849" s="376"/>
      <c r="Q1849" s="376"/>
      <c r="R1849" s="376"/>
    </row>
    <row r="1850" spans="15:18">
      <c r="O1850" s="376"/>
      <c r="P1850" s="376"/>
      <c r="Q1850" s="376"/>
      <c r="R1850" s="376"/>
    </row>
    <row r="1851" spans="15:18">
      <c r="O1851" s="376"/>
      <c r="P1851" s="376"/>
      <c r="Q1851" s="376"/>
      <c r="R1851" s="376"/>
    </row>
    <row r="1852" spans="15:18">
      <c r="O1852" s="376"/>
      <c r="P1852" s="376"/>
      <c r="Q1852" s="376"/>
      <c r="R1852" s="376"/>
    </row>
    <row r="1853" spans="15:18">
      <c r="O1853" s="376"/>
      <c r="P1853" s="376"/>
      <c r="Q1853" s="376"/>
      <c r="R1853" s="376"/>
    </row>
    <row r="1854" spans="15:18">
      <c r="O1854" s="376"/>
      <c r="P1854" s="376"/>
      <c r="Q1854" s="376"/>
      <c r="R1854" s="376"/>
    </row>
    <row r="1855" spans="15:18">
      <c r="O1855" s="376"/>
      <c r="P1855" s="376"/>
      <c r="Q1855" s="376"/>
      <c r="R1855" s="376"/>
    </row>
    <row r="1856" spans="15:18">
      <c r="O1856" s="376"/>
      <c r="P1856" s="376"/>
      <c r="Q1856" s="376"/>
      <c r="R1856" s="376"/>
    </row>
    <row r="1857" spans="15:18">
      <c r="O1857" s="376"/>
      <c r="P1857" s="376"/>
      <c r="Q1857" s="376"/>
      <c r="R1857" s="376"/>
    </row>
    <row r="1858" spans="15:18">
      <c r="O1858" s="376"/>
      <c r="P1858" s="376"/>
      <c r="Q1858" s="376"/>
      <c r="R1858" s="376"/>
    </row>
    <row r="1859" spans="15:18">
      <c r="O1859" s="376"/>
      <c r="P1859" s="376"/>
      <c r="Q1859" s="376"/>
      <c r="R1859" s="376"/>
    </row>
    <row r="1860" spans="15:18">
      <c r="O1860" s="376"/>
      <c r="P1860" s="376"/>
      <c r="Q1860" s="376"/>
      <c r="R1860" s="376"/>
    </row>
    <row r="1861" spans="15:18">
      <c r="O1861" s="376"/>
      <c r="P1861" s="376"/>
      <c r="Q1861" s="376"/>
      <c r="R1861" s="376"/>
    </row>
    <row r="1862" spans="15:18">
      <c r="O1862" s="376"/>
      <c r="P1862" s="376"/>
      <c r="Q1862" s="376"/>
      <c r="R1862" s="376"/>
    </row>
    <row r="1863" spans="15:18">
      <c r="O1863" s="376"/>
      <c r="P1863" s="376"/>
      <c r="Q1863" s="376"/>
      <c r="R1863" s="376"/>
    </row>
    <row r="1864" spans="15:18">
      <c r="O1864" s="376"/>
      <c r="P1864" s="376"/>
      <c r="Q1864" s="376"/>
      <c r="R1864" s="376"/>
    </row>
    <row r="1865" spans="15:18">
      <c r="O1865" s="376"/>
      <c r="P1865" s="376"/>
      <c r="Q1865" s="376"/>
      <c r="R1865" s="376"/>
    </row>
    <row r="1866" spans="15:18">
      <c r="O1866" s="376"/>
      <c r="P1866" s="376"/>
      <c r="Q1866" s="376"/>
      <c r="R1866" s="376"/>
    </row>
    <row r="1867" spans="15:18">
      <c r="O1867" s="376"/>
      <c r="P1867" s="376"/>
      <c r="Q1867" s="376"/>
      <c r="R1867" s="376"/>
    </row>
    <row r="1868" spans="15:18">
      <c r="O1868" s="376"/>
      <c r="P1868" s="376"/>
      <c r="Q1868" s="376"/>
      <c r="R1868" s="376"/>
    </row>
    <row r="1869" spans="15:18">
      <c r="O1869" s="376"/>
      <c r="P1869" s="376"/>
      <c r="Q1869" s="376"/>
      <c r="R1869" s="376"/>
    </row>
    <row r="1870" spans="15:18">
      <c r="O1870" s="376"/>
      <c r="P1870" s="376"/>
      <c r="Q1870" s="376"/>
      <c r="R1870" s="376"/>
    </row>
    <row r="1871" spans="15:18">
      <c r="O1871" s="376"/>
      <c r="P1871" s="376"/>
      <c r="Q1871" s="376"/>
      <c r="R1871" s="376"/>
    </row>
    <row r="1872" spans="15:18">
      <c r="O1872" s="376"/>
      <c r="P1872" s="376"/>
      <c r="Q1872" s="376"/>
      <c r="R1872" s="376"/>
    </row>
    <row r="1873" spans="15:18">
      <c r="O1873" s="376"/>
      <c r="P1873" s="376"/>
      <c r="Q1873" s="376"/>
      <c r="R1873" s="376"/>
    </row>
    <row r="1874" spans="15:18">
      <c r="O1874" s="376"/>
      <c r="P1874" s="376"/>
      <c r="Q1874" s="376"/>
      <c r="R1874" s="376"/>
    </row>
    <row r="1875" spans="15:18">
      <c r="O1875" s="376"/>
      <c r="P1875" s="376"/>
      <c r="Q1875" s="376"/>
      <c r="R1875" s="376"/>
    </row>
    <row r="1876" spans="15:18">
      <c r="O1876" s="376"/>
      <c r="P1876" s="376"/>
      <c r="Q1876" s="376"/>
      <c r="R1876" s="376"/>
    </row>
    <row r="1877" spans="15:18">
      <c r="O1877" s="376"/>
      <c r="P1877" s="376"/>
      <c r="Q1877" s="376"/>
      <c r="R1877" s="376"/>
    </row>
    <row r="1878" spans="15:18">
      <c r="O1878" s="376"/>
      <c r="P1878" s="376"/>
      <c r="Q1878" s="376"/>
      <c r="R1878" s="376"/>
    </row>
    <row r="1879" spans="15:18">
      <c r="O1879" s="376"/>
      <c r="P1879" s="376"/>
      <c r="Q1879" s="376"/>
      <c r="R1879" s="376"/>
    </row>
    <row r="1880" spans="15:18">
      <c r="O1880" s="376"/>
      <c r="P1880" s="376"/>
      <c r="Q1880" s="376"/>
      <c r="R1880" s="376"/>
    </row>
    <row r="1881" spans="15:18">
      <c r="O1881" s="376"/>
      <c r="P1881" s="376"/>
      <c r="Q1881" s="376"/>
      <c r="R1881" s="376"/>
    </row>
    <row r="1882" spans="15:18">
      <c r="O1882" s="376"/>
      <c r="P1882" s="376"/>
      <c r="Q1882" s="376"/>
      <c r="R1882" s="376"/>
    </row>
    <row r="1883" spans="15:18">
      <c r="O1883" s="376"/>
      <c r="P1883" s="376"/>
      <c r="Q1883" s="376"/>
      <c r="R1883" s="376"/>
    </row>
    <row r="1884" spans="15:18">
      <c r="O1884" s="376"/>
      <c r="P1884" s="376"/>
      <c r="Q1884" s="376"/>
      <c r="R1884" s="376"/>
    </row>
    <row r="1885" spans="15:18">
      <c r="O1885" s="376"/>
      <c r="P1885" s="376"/>
      <c r="Q1885" s="376"/>
      <c r="R1885" s="376"/>
    </row>
    <row r="1886" spans="15:18">
      <c r="O1886" s="376"/>
      <c r="P1886" s="376"/>
      <c r="Q1886" s="376"/>
      <c r="R1886" s="376"/>
    </row>
    <row r="1887" spans="15:18">
      <c r="O1887" s="376"/>
      <c r="P1887" s="376"/>
      <c r="Q1887" s="376"/>
      <c r="R1887" s="376"/>
    </row>
    <row r="1888" spans="15:18">
      <c r="O1888" s="376"/>
      <c r="P1888" s="376"/>
      <c r="Q1888" s="376"/>
      <c r="R1888" s="376"/>
    </row>
    <row r="1889" spans="15:18">
      <c r="O1889" s="376"/>
      <c r="P1889" s="376"/>
      <c r="Q1889" s="376"/>
      <c r="R1889" s="376"/>
    </row>
    <row r="1890" spans="15:18">
      <c r="O1890" s="376"/>
      <c r="P1890" s="376"/>
      <c r="Q1890" s="376"/>
      <c r="R1890" s="376"/>
    </row>
    <row r="1891" spans="15:18">
      <c r="O1891" s="376"/>
      <c r="P1891" s="376"/>
      <c r="Q1891" s="376"/>
      <c r="R1891" s="376"/>
    </row>
    <row r="1892" spans="15:18">
      <c r="O1892" s="376"/>
      <c r="P1892" s="376"/>
      <c r="Q1892" s="376"/>
      <c r="R1892" s="376"/>
    </row>
    <row r="1893" spans="15:18">
      <c r="O1893" s="376"/>
      <c r="P1893" s="376"/>
      <c r="Q1893" s="376"/>
      <c r="R1893" s="376"/>
    </row>
    <row r="1894" spans="15:18">
      <c r="O1894" s="376"/>
      <c r="P1894" s="376"/>
      <c r="Q1894" s="376"/>
      <c r="R1894" s="376"/>
    </row>
    <row r="1895" spans="15:18">
      <c r="O1895" s="376"/>
      <c r="P1895" s="376"/>
      <c r="Q1895" s="376"/>
      <c r="R1895" s="376"/>
    </row>
    <row r="1896" spans="15:18">
      <c r="O1896" s="376"/>
      <c r="P1896" s="376"/>
      <c r="Q1896" s="376"/>
      <c r="R1896" s="376"/>
    </row>
    <row r="1897" spans="15:18">
      <c r="O1897" s="376"/>
      <c r="P1897" s="376"/>
      <c r="Q1897" s="376"/>
      <c r="R1897" s="376"/>
    </row>
    <row r="1898" spans="15:18">
      <c r="O1898" s="376"/>
      <c r="P1898" s="376"/>
      <c r="Q1898" s="376"/>
      <c r="R1898" s="376"/>
    </row>
    <row r="1899" spans="15:18">
      <c r="O1899" s="376"/>
      <c r="P1899" s="376"/>
      <c r="Q1899" s="376"/>
      <c r="R1899" s="376"/>
    </row>
    <row r="1900" spans="15:18">
      <c r="O1900" s="376"/>
      <c r="P1900" s="376"/>
      <c r="Q1900" s="376"/>
      <c r="R1900" s="376"/>
    </row>
    <row r="1901" spans="15:18">
      <c r="O1901" s="376"/>
      <c r="P1901" s="376"/>
      <c r="Q1901" s="376"/>
      <c r="R1901" s="376"/>
    </row>
    <row r="1902" spans="15:18">
      <c r="O1902" s="376"/>
      <c r="P1902" s="376"/>
      <c r="Q1902" s="376"/>
      <c r="R1902" s="376"/>
    </row>
    <row r="1903" spans="15:18">
      <c r="O1903" s="376"/>
      <c r="P1903" s="376"/>
      <c r="Q1903" s="376"/>
      <c r="R1903" s="376"/>
    </row>
    <row r="1904" spans="15:18">
      <c r="O1904" s="376"/>
      <c r="P1904" s="376"/>
      <c r="Q1904" s="376"/>
      <c r="R1904" s="376"/>
    </row>
    <row r="1905" spans="15:18">
      <c r="O1905" s="376"/>
      <c r="P1905" s="376"/>
      <c r="Q1905" s="376"/>
      <c r="R1905" s="376"/>
    </row>
    <row r="1906" spans="15:18">
      <c r="O1906" s="376"/>
      <c r="P1906" s="376"/>
      <c r="Q1906" s="376"/>
      <c r="R1906" s="376"/>
    </row>
    <row r="1907" spans="15:18">
      <c r="O1907" s="376"/>
      <c r="P1907" s="376"/>
      <c r="Q1907" s="376"/>
      <c r="R1907" s="376"/>
    </row>
    <row r="1908" spans="15:18">
      <c r="O1908" s="376"/>
      <c r="P1908" s="376"/>
      <c r="Q1908" s="376"/>
      <c r="R1908" s="376"/>
    </row>
    <row r="1909" spans="15:18">
      <c r="O1909" s="376"/>
      <c r="P1909" s="376"/>
      <c r="Q1909" s="376"/>
      <c r="R1909" s="376"/>
    </row>
    <row r="1910" spans="15:18">
      <c r="O1910" s="376"/>
      <c r="P1910" s="376"/>
      <c r="Q1910" s="376"/>
      <c r="R1910" s="376"/>
    </row>
    <row r="1911" spans="15:18">
      <c r="O1911" s="376"/>
      <c r="P1911" s="376"/>
      <c r="Q1911" s="376"/>
      <c r="R1911" s="376"/>
    </row>
    <row r="1912" spans="15:18">
      <c r="O1912" s="376"/>
      <c r="P1912" s="376"/>
      <c r="Q1912" s="376"/>
      <c r="R1912" s="376"/>
    </row>
    <row r="1913" spans="15:18">
      <c r="O1913" s="376"/>
      <c r="P1913" s="376"/>
      <c r="Q1913" s="376"/>
      <c r="R1913" s="376"/>
    </row>
    <row r="1914" spans="15:18">
      <c r="O1914" s="376"/>
      <c r="P1914" s="376"/>
      <c r="Q1914" s="376"/>
      <c r="R1914" s="376"/>
    </row>
    <row r="1915" spans="15:18">
      <c r="O1915" s="376"/>
      <c r="P1915" s="376"/>
      <c r="Q1915" s="376"/>
      <c r="R1915" s="376"/>
    </row>
    <row r="1916" spans="15:18">
      <c r="O1916" s="376"/>
      <c r="P1916" s="376"/>
      <c r="Q1916" s="376"/>
      <c r="R1916" s="376"/>
    </row>
    <row r="1917" spans="15:18">
      <c r="O1917" s="376"/>
      <c r="P1917" s="376"/>
      <c r="Q1917" s="376"/>
      <c r="R1917" s="376"/>
    </row>
    <row r="1918" spans="15:18">
      <c r="O1918" s="376"/>
      <c r="P1918" s="376"/>
      <c r="Q1918" s="376"/>
      <c r="R1918" s="376"/>
    </row>
    <row r="1919" spans="15:18">
      <c r="O1919" s="376"/>
      <c r="P1919" s="376"/>
      <c r="Q1919" s="376"/>
      <c r="R1919" s="376"/>
    </row>
    <row r="1920" spans="15:18">
      <c r="O1920" s="376"/>
      <c r="P1920" s="376"/>
      <c r="Q1920" s="376"/>
      <c r="R1920" s="376"/>
    </row>
    <row r="1921" spans="15:18">
      <c r="O1921" s="376"/>
      <c r="P1921" s="376"/>
      <c r="Q1921" s="376"/>
      <c r="R1921" s="376"/>
    </row>
    <row r="1922" spans="15:18">
      <c r="O1922" s="376"/>
      <c r="P1922" s="376"/>
      <c r="Q1922" s="376"/>
      <c r="R1922" s="376"/>
    </row>
    <row r="1923" spans="15:18">
      <c r="O1923" s="376"/>
      <c r="P1923" s="376"/>
      <c r="Q1923" s="376"/>
      <c r="R1923" s="376"/>
    </row>
    <row r="1924" spans="15:18">
      <c r="O1924" s="376"/>
      <c r="P1924" s="376"/>
      <c r="Q1924" s="376"/>
      <c r="R1924" s="376"/>
    </row>
    <row r="1925" spans="15:18">
      <c r="O1925" s="376"/>
      <c r="P1925" s="376"/>
      <c r="Q1925" s="376"/>
      <c r="R1925" s="376"/>
    </row>
    <row r="1926" spans="15:18">
      <c r="O1926" s="376"/>
      <c r="P1926" s="376"/>
      <c r="Q1926" s="376"/>
      <c r="R1926" s="376"/>
    </row>
    <row r="1927" spans="15:18">
      <c r="O1927" s="376"/>
      <c r="P1927" s="376"/>
      <c r="Q1927" s="376"/>
      <c r="R1927" s="376"/>
    </row>
    <row r="1928" spans="15:18">
      <c r="O1928" s="376"/>
      <c r="P1928" s="376"/>
      <c r="Q1928" s="376"/>
      <c r="R1928" s="376"/>
    </row>
    <row r="1929" spans="15:18">
      <c r="O1929" s="376"/>
      <c r="P1929" s="376"/>
      <c r="Q1929" s="376"/>
      <c r="R1929" s="376"/>
    </row>
    <row r="1930" spans="15:18">
      <c r="O1930" s="376"/>
      <c r="P1930" s="376"/>
      <c r="Q1930" s="376"/>
      <c r="R1930" s="376"/>
    </row>
    <row r="1931" spans="15:18">
      <c r="O1931" s="376"/>
      <c r="P1931" s="376"/>
      <c r="Q1931" s="376"/>
      <c r="R1931" s="376"/>
    </row>
    <row r="1932" spans="15:18">
      <c r="O1932" s="376"/>
      <c r="P1932" s="376"/>
      <c r="Q1932" s="376"/>
      <c r="R1932" s="376"/>
    </row>
    <row r="1933" spans="15:18">
      <c r="O1933" s="376"/>
      <c r="P1933" s="376"/>
      <c r="Q1933" s="376"/>
      <c r="R1933" s="376"/>
    </row>
    <row r="1934" spans="15:18">
      <c r="O1934" s="376"/>
      <c r="P1934" s="376"/>
      <c r="Q1934" s="376"/>
      <c r="R1934" s="376"/>
    </row>
    <row r="1935" spans="15:18">
      <c r="O1935" s="376"/>
      <c r="P1935" s="376"/>
      <c r="Q1935" s="376"/>
      <c r="R1935" s="376"/>
    </row>
    <row r="1936" spans="15:18">
      <c r="O1936" s="376"/>
      <c r="P1936" s="376"/>
      <c r="Q1936" s="376"/>
      <c r="R1936" s="376"/>
    </row>
    <row r="1937" spans="15:18">
      <c r="O1937" s="376"/>
      <c r="P1937" s="376"/>
      <c r="Q1937" s="376"/>
      <c r="R1937" s="376"/>
    </row>
    <row r="1938" spans="15:18">
      <c r="O1938" s="376"/>
      <c r="P1938" s="376"/>
      <c r="Q1938" s="376"/>
      <c r="R1938" s="376"/>
    </row>
    <row r="1939" spans="15:18">
      <c r="O1939" s="376"/>
      <c r="P1939" s="376"/>
      <c r="Q1939" s="376"/>
      <c r="R1939" s="376"/>
    </row>
    <row r="1940" spans="15:18">
      <c r="O1940" s="376"/>
      <c r="P1940" s="376"/>
      <c r="Q1940" s="376"/>
      <c r="R1940" s="376"/>
    </row>
    <row r="1941" spans="15:18">
      <c r="O1941" s="376"/>
      <c r="P1941" s="376"/>
      <c r="Q1941" s="376"/>
      <c r="R1941" s="376"/>
    </row>
    <row r="1942" spans="15:18">
      <c r="O1942" s="376"/>
      <c r="P1942" s="376"/>
      <c r="Q1942" s="376"/>
      <c r="R1942" s="376"/>
    </row>
    <row r="1943" spans="15:18">
      <c r="O1943" s="376"/>
      <c r="P1943" s="376"/>
      <c r="Q1943" s="376"/>
      <c r="R1943" s="376"/>
    </row>
    <row r="1944" spans="15:18">
      <c r="O1944" s="376"/>
      <c r="P1944" s="376"/>
      <c r="Q1944" s="376"/>
      <c r="R1944" s="376"/>
    </row>
    <row r="1945" spans="15:18">
      <c r="O1945" s="376"/>
      <c r="P1945" s="376"/>
      <c r="Q1945" s="376"/>
      <c r="R1945" s="376"/>
    </row>
    <row r="1946" spans="15:18">
      <c r="O1946" s="376"/>
      <c r="P1946" s="376"/>
      <c r="Q1946" s="376"/>
      <c r="R1946" s="376"/>
    </row>
    <row r="1947" spans="15:18">
      <c r="O1947" s="376"/>
      <c r="P1947" s="376"/>
      <c r="Q1947" s="376"/>
      <c r="R1947" s="376"/>
    </row>
    <row r="1948" spans="15:18">
      <c r="O1948" s="376"/>
      <c r="P1948" s="376"/>
      <c r="Q1948" s="376"/>
      <c r="R1948" s="376"/>
    </row>
    <row r="1949" spans="15:18">
      <c r="O1949" s="376"/>
      <c r="P1949" s="376"/>
      <c r="Q1949" s="376"/>
      <c r="R1949" s="376"/>
    </row>
    <row r="1950" spans="15:18">
      <c r="O1950" s="376"/>
      <c r="P1950" s="376"/>
      <c r="Q1950" s="376"/>
      <c r="R1950" s="376"/>
    </row>
    <row r="1951" spans="15:18">
      <c r="O1951" s="376"/>
      <c r="P1951" s="376"/>
      <c r="Q1951" s="376"/>
      <c r="R1951" s="376"/>
    </row>
    <row r="1952" spans="15:18">
      <c r="O1952" s="376"/>
      <c r="P1952" s="376"/>
      <c r="Q1952" s="376"/>
      <c r="R1952" s="376"/>
    </row>
    <row r="1953" spans="15:18">
      <c r="O1953" s="376"/>
      <c r="P1953" s="376"/>
      <c r="Q1953" s="376"/>
      <c r="R1953" s="376"/>
    </row>
    <row r="1954" spans="15:18">
      <c r="O1954" s="376"/>
      <c r="P1954" s="376"/>
      <c r="Q1954" s="376"/>
      <c r="R1954" s="376"/>
    </row>
    <row r="1955" spans="15:18">
      <c r="O1955" s="376"/>
      <c r="P1955" s="376"/>
      <c r="Q1955" s="376"/>
      <c r="R1955" s="376"/>
    </row>
    <row r="1956" spans="15:18">
      <c r="O1956" s="376"/>
      <c r="P1956" s="376"/>
      <c r="Q1956" s="376"/>
      <c r="R1956" s="376"/>
    </row>
    <row r="1957" spans="15:18">
      <c r="O1957" s="376"/>
      <c r="P1957" s="376"/>
      <c r="Q1957" s="376"/>
      <c r="R1957" s="376"/>
    </row>
    <row r="1958" spans="15:18">
      <c r="O1958" s="376"/>
      <c r="P1958" s="376"/>
      <c r="Q1958" s="376"/>
      <c r="R1958" s="376"/>
    </row>
    <row r="1959" spans="15:18">
      <c r="O1959" s="376"/>
      <c r="P1959" s="376"/>
      <c r="Q1959" s="376"/>
      <c r="R1959" s="376"/>
    </row>
    <row r="1960" spans="15:18">
      <c r="O1960" s="376"/>
      <c r="P1960" s="376"/>
      <c r="Q1960" s="376"/>
      <c r="R1960" s="376"/>
    </row>
    <row r="1961" spans="15:18">
      <c r="O1961" s="376"/>
      <c r="P1961" s="376"/>
      <c r="Q1961" s="376"/>
      <c r="R1961" s="376"/>
    </row>
    <row r="1962" spans="15:18">
      <c r="O1962" s="376"/>
      <c r="P1962" s="376"/>
      <c r="Q1962" s="376"/>
      <c r="R1962" s="376"/>
    </row>
    <row r="1963" spans="15:18">
      <c r="O1963" s="376"/>
      <c r="P1963" s="376"/>
      <c r="Q1963" s="376"/>
      <c r="R1963" s="376"/>
    </row>
    <row r="1964" spans="15:18">
      <c r="O1964" s="376"/>
      <c r="P1964" s="376"/>
      <c r="Q1964" s="376"/>
      <c r="R1964" s="376"/>
    </row>
    <row r="1965" spans="15:18">
      <c r="O1965" s="376"/>
      <c r="P1965" s="376"/>
      <c r="Q1965" s="376"/>
      <c r="R1965" s="376"/>
    </row>
    <row r="1966" spans="15:18">
      <c r="O1966" s="376"/>
      <c r="P1966" s="376"/>
      <c r="Q1966" s="376"/>
      <c r="R1966" s="376"/>
    </row>
    <row r="1967" spans="15:18">
      <c r="O1967" s="376"/>
      <c r="P1967" s="376"/>
      <c r="Q1967" s="376"/>
      <c r="R1967" s="376"/>
    </row>
    <row r="1968" spans="15:18">
      <c r="O1968" s="376"/>
      <c r="P1968" s="376"/>
      <c r="Q1968" s="376"/>
      <c r="R1968" s="376"/>
    </row>
    <row r="1969" spans="15:18">
      <c r="O1969" s="376"/>
      <c r="P1969" s="376"/>
      <c r="Q1969" s="376"/>
      <c r="R1969" s="376"/>
    </row>
    <row r="1970" spans="15:18">
      <c r="O1970" s="376"/>
      <c r="P1970" s="376"/>
      <c r="Q1970" s="376"/>
      <c r="R1970" s="376"/>
    </row>
    <row r="1971" spans="15:18">
      <c r="O1971" s="376"/>
      <c r="P1971" s="376"/>
      <c r="Q1971" s="376"/>
      <c r="R1971" s="376"/>
    </row>
    <row r="1972" spans="15:18">
      <c r="O1972" s="376"/>
      <c r="P1972" s="376"/>
      <c r="Q1972" s="376"/>
      <c r="R1972" s="376"/>
    </row>
    <row r="1973" spans="15:18">
      <c r="O1973" s="376"/>
      <c r="P1973" s="376"/>
      <c r="Q1973" s="376"/>
      <c r="R1973" s="376"/>
    </row>
    <row r="1974" spans="15:18">
      <c r="O1974" s="376"/>
      <c r="P1974" s="376"/>
      <c r="Q1974" s="376"/>
      <c r="R1974" s="376"/>
    </row>
    <row r="1975" spans="15:18">
      <c r="O1975" s="376"/>
      <c r="P1975" s="376"/>
      <c r="Q1975" s="376"/>
      <c r="R1975" s="376"/>
    </row>
    <row r="1976" spans="15:18">
      <c r="O1976" s="376"/>
      <c r="P1976" s="376"/>
      <c r="Q1976" s="376"/>
      <c r="R1976" s="376"/>
    </row>
    <row r="1977" spans="15:18">
      <c r="O1977" s="376"/>
      <c r="P1977" s="376"/>
      <c r="Q1977" s="376"/>
      <c r="R1977" s="376"/>
    </row>
    <row r="1978" spans="15:18">
      <c r="O1978" s="376"/>
      <c r="P1978" s="376"/>
      <c r="Q1978" s="376"/>
      <c r="R1978" s="376"/>
    </row>
    <row r="1979" spans="15:18">
      <c r="O1979" s="376"/>
      <c r="P1979" s="376"/>
      <c r="Q1979" s="376"/>
      <c r="R1979" s="376"/>
    </row>
    <row r="1980" spans="15:18">
      <c r="O1980" s="376"/>
      <c r="P1980" s="376"/>
      <c r="Q1980" s="376"/>
      <c r="R1980" s="376"/>
    </row>
    <row r="1981" spans="15:18">
      <c r="O1981" s="376"/>
      <c r="P1981" s="376"/>
      <c r="Q1981" s="376"/>
      <c r="R1981" s="376"/>
    </row>
    <row r="1982" spans="15:18">
      <c r="O1982" s="376"/>
      <c r="P1982" s="376"/>
      <c r="Q1982" s="376"/>
      <c r="R1982" s="376"/>
    </row>
    <row r="1983" spans="15:18">
      <c r="O1983" s="376"/>
      <c r="P1983" s="376"/>
      <c r="Q1983" s="376"/>
      <c r="R1983" s="376"/>
    </row>
    <row r="1984" spans="15:18">
      <c r="O1984" s="376"/>
      <c r="P1984" s="376"/>
      <c r="Q1984" s="376"/>
      <c r="R1984" s="376"/>
    </row>
    <row r="1985" spans="15:18">
      <c r="O1985" s="376"/>
      <c r="P1985" s="376"/>
      <c r="Q1985" s="376"/>
      <c r="R1985" s="376"/>
    </row>
    <row r="1986" spans="15:18">
      <c r="O1986" s="376"/>
      <c r="P1986" s="376"/>
      <c r="Q1986" s="376"/>
      <c r="R1986" s="376"/>
    </row>
    <row r="1987" spans="15:18">
      <c r="O1987" s="376"/>
      <c r="P1987" s="376"/>
      <c r="Q1987" s="376"/>
      <c r="R1987" s="376"/>
    </row>
    <row r="1988" spans="15:18">
      <c r="O1988" s="376"/>
      <c r="P1988" s="376"/>
      <c r="Q1988" s="376"/>
      <c r="R1988" s="376"/>
    </row>
    <row r="1989" spans="15:18">
      <c r="O1989" s="376"/>
      <c r="P1989" s="376"/>
      <c r="Q1989" s="376"/>
      <c r="R1989" s="376"/>
    </row>
    <row r="1990" spans="15:18">
      <c r="O1990" s="376"/>
      <c r="P1990" s="376"/>
      <c r="Q1990" s="376"/>
      <c r="R1990" s="376"/>
    </row>
    <row r="1991" spans="15:18">
      <c r="O1991" s="376"/>
      <c r="P1991" s="376"/>
      <c r="Q1991" s="376"/>
      <c r="R1991" s="376"/>
    </row>
    <row r="1992" spans="15:18">
      <c r="O1992" s="376"/>
      <c r="P1992" s="376"/>
      <c r="Q1992" s="376"/>
      <c r="R1992" s="376"/>
    </row>
    <row r="1993" spans="15:18">
      <c r="O1993" s="376"/>
      <c r="P1993" s="376"/>
      <c r="Q1993" s="376"/>
      <c r="R1993" s="376"/>
    </row>
    <row r="1994" spans="15:18">
      <c r="O1994" s="376"/>
      <c r="P1994" s="376"/>
      <c r="Q1994" s="376"/>
      <c r="R1994" s="376"/>
    </row>
    <row r="1995" spans="15:18">
      <c r="O1995" s="376"/>
      <c r="P1995" s="376"/>
      <c r="Q1995" s="376"/>
      <c r="R1995" s="376"/>
    </row>
    <row r="1996" spans="15:18">
      <c r="O1996" s="376"/>
      <c r="P1996" s="376"/>
      <c r="Q1996" s="376"/>
      <c r="R1996" s="376"/>
    </row>
    <row r="1997" spans="15:18">
      <c r="O1997" s="376"/>
      <c r="P1997" s="376"/>
      <c r="Q1997" s="376"/>
      <c r="R1997" s="376"/>
    </row>
    <row r="1998" spans="15:18">
      <c r="O1998" s="376"/>
      <c r="P1998" s="376"/>
      <c r="Q1998" s="376"/>
      <c r="R1998" s="376"/>
    </row>
    <row r="1999" spans="15:18">
      <c r="O1999" s="376"/>
      <c r="P1999" s="376"/>
      <c r="Q1999" s="376"/>
      <c r="R1999" s="376"/>
    </row>
    <row r="2000" spans="15:18">
      <c r="O2000" s="376"/>
      <c r="P2000" s="376"/>
      <c r="Q2000" s="376"/>
      <c r="R2000" s="376"/>
    </row>
    <row r="2001" spans="15:18">
      <c r="O2001" s="376"/>
      <c r="P2001" s="376"/>
      <c r="Q2001" s="376"/>
      <c r="R2001" s="376"/>
    </row>
    <row r="2002" spans="15:18">
      <c r="O2002" s="376"/>
      <c r="P2002" s="376"/>
      <c r="Q2002" s="376"/>
      <c r="R2002" s="376"/>
    </row>
    <row r="2003" spans="15:18">
      <c r="O2003" s="376"/>
      <c r="P2003" s="376"/>
      <c r="Q2003" s="376"/>
      <c r="R2003" s="376"/>
    </row>
    <row r="2004" spans="15:18">
      <c r="O2004" s="376"/>
      <c r="P2004" s="376"/>
      <c r="Q2004" s="376"/>
      <c r="R2004" s="376"/>
    </row>
    <row r="2005" spans="15:18">
      <c r="O2005" s="376"/>
      <c r="P2005" s="376"/>
      <c r="Q2005" s="376"/>
      <c r="R2005" s="376"/>
    </row>
    <row r="2006" spans="15:18">
      <c r="O2006" s="376"/>
      <c r="P2006" s="376"/>
      <c r="Q2006" s="376"/>
      <c r="R2006" s="376"/>
    </row>
    <row r="2007" spans="15:18">
      <c r="O2007" s="376"/>
      <c r="P2007" s="376"/>
      <c r="Q2007" s="376"/>
      <c r="R2007" s="376"/>
    </row>
    <row r="2008" spans="15:18">
      <c r="O2008" s="376"/>
      <c r="P2008" s="376"/>
      <c r="Q2008" s="376"/>
      <c r="R2008" s="376"/>
    </row>
    <row r="2009" spans="15:18">
      <c r="O2009" s="376"/>
      <c r="P2009" s="376"/>
      <c r="Q2009" s="376"/>
      <c r="R2009" s="376"/>
    </row>
    <row r="2010" spans="15:18">
      <c r="O2010" s="376"/>
      <c r="P2010" s="376"/>
      <c r="Q2010" s="376"/>
      <c r="R2010" s="376"/>
    </row>
    <row r="2011" spans="15:18">
      <c r="O2011" s="376"/>
      <c r="P2011" s="376"/>
      <c r="Q2011" s="376"/>
      <c r="R2011" s="376"/>
    </row>
    <row r="2012" spans="15:18">
      <c r="O2012" s="376"/>
      <c r="P2012" s="376"/>
      <c r="Q2012" s="376"/>
      <c r="R2012" s="376"/>
    </row>
    <row r="2013" spans="15:18">
      <c r="O2013" s="376"/>
      <c r="P2013" s="376"/>
      <c r="Q2013" s="376"/>
      <c r="R2013" s="376"/>
    </row>
    <row r="2014" spans="15:18">
      <c r="O2014" s="376"/>
      <c r="P2014" s="376"/>
      <c r="Q2014" s="376"/>
      <c r="R2014" s="376"/>
    </row>
    <row r="2015" spans="15:18">
      <c r="O2015" s="376"/>
      <c r="P2015" s="376"/>
      <c r="Q2015" s="376"/>
      <c r="R2015" s="376"/>
    </row>
    <row r="2016" spans="15:18">
      <c r="O2016" s="376"/>
      <c r="P2016" s="376"/>
      <c r="Q2016" s="376"/>
      <c r="R2016" s="376"/>
    </row>
    <row r="2017" spans="15:18">
      <c r="O2017" s="376"/>
      <c r="P2017" s="376"/>
      <c r="Q2017" s="376"/>
      <c r="R2017" s="376"/>
    </row>
    <row r="2018" spans="15:18">
      <c r="O2018" s="376"/>
      <c r="P2018" s="376"/>
      <c r="Q2018" s="376"/>
      <c r="R2018" s="376"/>
    </row>
    <row r="2019" spans="15:18">
      <c r="O2019" s="376"/>
      <c r="P2019" s="376"/>
      <c r="Q2019" s="376"/>
      <c r="R2019" s="376"/>
    </row>
    <row r="2020" spans="15:18">
      <c r="O2020" s="376"/>
      <c r="P2020" s="376"/>
      <c r="Q2020" s="376"/>
      <c r="R2020" s="376"/>
    </row>
    <row r="2021" spans="15:18">
      <c r="O2021" s="376"/>
      <c r="P2021" s="376"/>
      <c r="Q2021" s="376"/>
      <c r="R2021" s="376"/>
    </row>
    <row r="2022" spans="15:18">
      <c r="O2022" s="376"/>
      <c r="P2022" s="376"/>
      <c r="Q2022" s="376"/>
      <c r="R2022" s="376"/>
    </row>
    <row r="2023" spans="15:18">
      <c r="O2023" s="376"/>
      <c r="P2023" s="376"/>
      <c r="Q2023" s="376"/>
      <c r="R2023" s="376"/>
    </row>
    <row r="2024" spans="15:18">
      <c r="O2024" s="376"/>
      <c r="P2024" s="376"/>
      <c r="Q2024" s="376"/>
      <c r="R2024" s="376"/>
    </row>
    <row r="2025" spans="15:18">
      <c r="O2025" s="376"/>
      <c r="P2025" s="376"/>
      <c r="Q2025" s="376"/>
      <c r="R2025" s="376"/>
    </row>
    <row r="2026" spans="15:18">
      <c r="O2026" s="376"/>
      <c r="P2026" s="376"/>
      <c r="Q2026" s="376"/>
      <c r="R2026" s="376"/>
    </row>
    <row r="2027" spans="15:18">
      <c r="O2027" s="376"/>
      <c r="P2027" s="376"/>
      <c r="Q2027" s="376"/>
      <c r="R2027" s="376"/>
    </row>
    <row r="2028" spans="15:18">
      <c r="O2028" s="376"/>
      <c r="P2028" s="376"/>
      <c r="Q2028" s="376"/>
      <c r="R2028" s="376"/>
    </row>
    <row r="2029" spans="15:18">
      <c r="O2029" s="376"/>
      <c r="P2029" s="376"/>
      <c r="Q2029" s="376"/>
      <c r="R2029" s="376"/>
    </row>
    <row r="2030" spans="15:18">
      <c r="O2030" s="376"/>
      <c r="P2030" s="376"/>
      <c r="Q2030" s="376"/>
      <c r="R2030" s="376"/>
    </row>
    <row r="2031" spans="15:18">
      <c r="O2031" s="376"/>
      <c r="P2031" s="376"/>
      <c r="Q2031" s="376"/>
      <c r="R2031" s="376"/>
    </row>
    <row r="2032" spans="15:18">
      <c r="O2032" s="376"/>
      <c r="P2032" s="376"/>
      <c r="Q2032" s="376"/>
      <c r="R2032" s="376"/>
    </row>
    <row r="2033" spans="15:18">
      <c r="O2033" s="376"/>
      <c r="P2033" s="376"/>
      <c r="Q2033" s="376"/>
      <c r="R2033" s="376"/>
    </row>
    <row r="2034" spans="15:18">
      <c r="O2034" s="376"/>
      <c r="P2034" s="376"/>
      <c r="Q2034" s="376"/>
      <c r="R2034" s="376"/>
    </row>
    <row r="2035" spans="15:18">
      <c r="O2035" s="376"/>
      <c r="P2035" s="376"/>
      <c r="Q2035" s="376"/>
      <c r="R2035" s="376"/>
    </row>
    <row r="2036" spans="15:18">
      <c r="O2036" s="376"/>
      <c r="P2036" s="376"/>
      <c r="Q2036" s="376"/>
      <c r="R2036" s="376"/>
    </row>
    <row r="2037" spans="15:18">
      <c r="O2037" s="376"/>
      <c r="P2037" s="376"/>
      <c r="Q2037" s="376"/>
      <c r="R2037" s="376"/>
    </row>
    <row r="2038" spans="15:18">
      <c r="O2038" s="376"/>
      <c r="P2038" s="376"/>
      <c r="Q2038" s="376"/>
      <c r="R2038" s="376"/>
    </row>
    <row r="2039" spans="15:18">
      <c r="O2039" s="376"/>
      <c r="P2039" s="376"/>
      <c r="Q2039" s="376"/>
      <c r="R2039" s="376"/>
    </row>
    <row r="2040" spans="15:18">
      <c r="O2040" s="376"/>
      <c r="P2040" s="376"/>
      <c r="Q2040" s="376"/>
      <c r="R2040" s="376"/>
    </row>
    <row r="2041" spans="15:18">
      <c r="O2041" s="376"/>
      <c r="P2041" s="376"/>
      <c r="Q2041" s="376"/>
      <c r="R2041" s="376"/>
    </row>
    <row r="2042" spans="15:18">
      <c r="O2042" s="376"/>
      <c r="P2042" s="376"/>
      <c r="Q2042" s="376"/>
      <c r="R2042" s="376"/>
    </row>
    <row r="2043" spans="15:18">
      <c r="O2043" s="376"/>
      <c r="P2043" s="376"/>
      <c r="Q2043" s="376"/>
      <c r="R2043" s="376"/>
    </row>
    <row r="2044" spans="15:18">
      <c r="O2044" s="376"/>
      <c r="P2044" s="376"/>
      <c r="Q2044" s="376"/>
      <c r="R2044" s="376"/>
    </row>
    <row r="2045" spans="15:18">
      <c r="O2045" s="376"/>
      <c r="P2045" s="376"/>
      <c r="Q2045" s="376"/>
      <c r="R2045" s="376"/>
    </row>
    <row r="2046" spans="15:18">
      <c r="O2046" s="376"/>
      <c r="P2046" s="376"/>
      <c r="Q2046" s="376"/>
      <c r="R2046" s="376"/>
    </row>
    <row r="2047" spans="15:18">
      <c r="O2047" s="376"/>
      <c r="P2047" s="376"/>
      <c r="Q2047" s="376"/>
      <c r="R2047" s="376"/>
    </row>
    <row r="2048" spans="15:18">
      <c r="O2048" s="376"/>
      <c r="P2048" s="376"/>
      <c r="Q2048" s="376"/>
      <c r="R2048" s="376"/>
    </row>
    <row r="2049" spans="15:18">
      <c r="O2049" s="376"/>
      <c r="P2049" s="376"/>
      <c r="Q2049" s="376"/>
      <c r="R2049" s="376"/>
    </row>
    <row r="2050" spans="15:18">
      <c r="O2050" s="376"/>
      <c r="P2050" s="376"/>
      <c r="Q2050" s="376"/>
      <c r="R2050" s="376"/>
    </row>
    <row r="2051" spans="15:18">
      <c r="O2051" s="376"/>
      <c r="P2051" s="376"/>
      <c r="Q2051" s="376"/>
      <c r="R2051" s="376"/>
    </row>
    <row r="2052" spans="15:18">
      <c r="O2052" s="376"/>
      <c r="P2052" s="376"/>
      <c r="Q2052" s="376"/>
      <c r="R2052" s="376"/>
    </row>
    <row r="2053" spans="15:18">
      <c r="O2053" s="376"/>
      <c r="P2053" s="376"/>
      <c r="Q2053" s="376"/>
      <c r="R2053" s="376"/>
    </row>
    <row r="2054" spans="15:18">
      <c r="O2054" s="376"/>
      <c r="P2054" s="376"/>
      <c r="Q2054" s="376"/>
      <c r="R2054" s="376"/>
    </row>
    <row r="2055" spans="15:18">
      <c r="O2055" s="376"/>
      <c r="P2055" s="376"/>
      <c r="Q2055" s="376"/>
      <c r="R2055" s="376"/>
    </row>
    <row r="2056" spans="15:18">
      <c r="O2056" s="376"/>
      <c r="P2056" s="376"/>
      <c r="Q2056" s="376"/>
      <c r="R2056" s="376"/>
    </row>
    <row r="2057" spans="15:18">
      <c r="O2057" s="376"/>
      <c r="P2057" s="376"/>
      <c r="Q2057" s="376"/>
      <c r="R2057" s="376"/>
    </row>
    <row r="2058" spans="15:18">
      <c r="O2058" s="376"/>
      <c r="P2058" s="376"/>
      <c r="Q2058" s="376"/>
      <c r="R2058" s="376"/>
    </row>
    <row r="2059" spans="15:18">
      <c r="O2059" s="376"/>
      <c r="P2059" s="376"/>
      <c r="Q2059" s="376"/>
      <c r="R2059" s="376"/>
    </row>
    <row r="2060" spans="15:18">
      <c r="O2060" s="376"/>
      <c r="P2060" s="376"/>
      <c r="Q2060" s="376"/>
      <c r="R2060" s="376"/>
    </row>
    <row r="2061" spans="15:18">
      <c r="O2061" s="376"/>
      <c r="P2061" s="376"/>
      <c r="Q2061" s="376"/>
      <c r="R2061" s="376"/>
    </row>
    <row r="2062" spans="15:18">
      <c r="O2062" s="376"/>
      <c r="P2062" s="376"/>
      <c r="Q2062" s="376"/>
      <c r="R2062" s="376"/>
    </row>
    <row r="2063" spans="15:18">
      <c r="O2063" s="376"/>
      <c r="P2063" s="376"/>
      <c r="Q2063" s="376"/>
      <c r="R2063" s="376"/>
    </row>
    <row r="2064" spans="15:18">
      <c r="O2064" s="376"/>
      <c r="P2064" s="376"/>
      <c r="Q2064" s="376"/>
      <c r="R2064" s="376"/>
    </row>
    <row r="2065" spans="15:18">
      <c r="O2065" s="376"/>
      <c r="P2065" s="376"/>
      <c r="Q2065" s="376"/>
      <c r="R2065" s="376"/>
    </row>
    <row r="2066" spans="15:18">
      <c r="O2066" s="376"/>
      <c r="P2066" s="376"/>
      <c r="Q2066" s="376"/>
      <c r="R2066" s="376"/>
    </row>
    <row r="2067" spans="15:18">
      <c r="O2067" s="376"/>
      <c r="P2067" s="376"/>
      <c r="Q2067" s="376"/>
      <c r="R2067" s="376"/>
    </row>
    <row r="2068" spans="15:18">
      <c r="O2068" s="376"/>
      <c r="P2068" s="376"/>
      <c r="Q2068" s="376"/>
      <c r="R2068" s="376"/>
    </row>
    <row r="2069" spans="15:18">
      <c r="O2069" s="376"/>
      <c r="P2069" s="376"/>
      <c r="Q2069" s="376"/>
      <c r="R2069" s="376"/>
    </row>
    <row r="2070" spans="15:18">
      <c r="O2070" s="376"/>
      <c r="P2070" s="376"/>
      <c r="Q2070" s="376"/>
      <c r="R2070" s="376"/>
    </row>
    <row r="2071" spans="15:18">
      <c r="O2071" s="376"/>
      <c r="P2071" s="376"/>
      <c r="Q2071" s="376"/>
      <c r="R2071" s="376"/>
    </row>
    <row r="2072" spans="15:18">
      <c r="O2072" s="376"/>
      <c r="P2072" s="376"/>
      <c r="Q2072" s="376"/>
      <c r="R2072" s="376"/>
    </row>
    <row r="2073" spans="15:18">
      <c r="O2073" s="376"/>
      <c r="P2073" s="376"/>
      <c r="Q2073" s="376"/>
      <c r="R2073" s="376"/>
    </row>
    <row r="2074" spans="15:18">
      <c r="O2074" s="376"/>
      <c r="P2074" s="376"/>
      <c r="Q2074" s="376"/>
      <c r="R2074" s="376"/>
    </row>
    <row r="2075" spans="15:18">
      <c r="O2075" s="376"/>
      <c r="P2075" s="376"/>
      <c r="Q2075" s="376"/>
      <c r="R2075" s="376"/>
    </row>
    <row r="2076" spans="15:18">
      <c r="O2076" s="376"/>
      <c r="P2076" s="376"/>
      <c r="Q2076" s="376"/>
      <c r="R2076" s="376"/>
    </row>
    <row r="2077" spans="15:18">
      <c r="O2077" s="376"/>
      <c r="P2077" s="376"/>
      <c r="Q2077" s="376"/>
      <c r="R2077" s="376"/>
    </row>
    <row r="2078" spans="15:18">
      <c r="O2078" s="376"/>
      <c r="P2078" s="376"/>
      <c r="Q2078" s="376"/>
      <c r="R2078" s="376"/>
    </row>
    <row r="2079" spans="15:18">
      <c r="O2079" s="376"/>
      <c r="P2079" s="376"/>
      <c r="Q2079" s="376"/>
      <c r="R2079" s="376"/>
    </row>
    <row r="2080" spans="15:18">
      <c r="O2080" s="376"/>
      <c r="P2080" s="376"/>
      <c r="Q2080" s="376"/>
      <c r="R2080" s="376"/>
    </row>
    <row r="2081" spans="15:18">
      <c r="O2081" s="376"/>
      <c r="P2081" s="376"/>
      <c r="Q2081" s="376"/>
      <c r="R2081" s="376"/>
    </row>
    <row r="2082" spans="15:18">
      <c r="O2082" s="376"/>
      <c r="P2082" s="376"/>
      <c r="Q2082" s="376"/>
      <c r="R2082" s="376"/>
    </row>
    <row r="2083" spans="15:18">
      <c r="O2083" s="376"/>
      <c r="P2083" s="376"/>
      <c r="Q2083" s="376"/>
      <c r="R2083" s="376"/>
    </row>
    <row r="2084" spans="15:18">
      <c r="O2084" s="376"/>
      <c r="P2084" s="376"/>
      <c r="Q2084" s="376"/>
      <c r="R2084" s="376"/>
    </row>
    <row r="2085" spans="15:18">
      <c r="O2085" s="376"/>
      <c r="P2085" s="376"/>
      <c r="Q2085" s="376"/>
      <c r="R2085" s="376"/>
    </row>
    <row r="2086" spans="15:18">
      <c r="O2086" s="376"/>
      <c r="P2086" s="376"/>
      <c r="Q2086" s="376"/>
      <c r="R2086" s="376"/>
    </row>
    <row r="2087" spans="15:18">
      <c r="O2087" s="376"/>
      <c r="P2087" s="376"/>
      <c r="Q2087" s="376"/>
      <c r="R2087" s="376"/>
    </row>
    <row r="2088" spans="15:18">
      <c r="O2088" s="376"/>
      <c r="P2088" s="376"/>
      <c r="Q2088" s="376"/>
      <c r="R2088" s="376"/>
    </row>
    <row r="2089" spans="15:18">
      <c r="O2089" s="376"/>
      <c r="P2089" s="376"/>
      <c r="Q2089" s="376"/>
      <c r="R2089" s="376"/>
    </row>
    <row r="2090" spans="15:18">
      <c r="O2090" s="376"/>
      <c r="P2090" s="376"/>
      <c r="Q2090" s="376"/>
      <c r="R2090" s="376"/>
    </row>
    <row r="2091" spans="15:18">
      <c r="O2091" s="376"/>
      <c r="P2091" s="376"/>
      <c r="Q2091" s="376"/>
      <c r="R2091" s="376"/>
    </row>
    <row r="2092" spans="15:18">
      <c r="O2092" s="376"/>
      <c r="P2092" s="376"/>
      <c r="Q2092" s="376"/>
      <c r="R2092" s="376"/>
    </row>
    <row r="2093" spans="15:18">
      <c r="O2093" s="376"/>
      <c r="P2093" s="376"/>
      <c r="Q2093" s="376"/>
      <c r="R2093" s="376"/>
    </row>
    <row r="2094" spans="15:18">
      <c r="O2094" s="376"/>
      <c r="P2094" s="376"/>
      <c r="Q2094" s="376"/>
      <c r="R2094" s="376"/>
    </row>
    <row r="2095" spans="15:18">
      <c r="O2095" s="376"/>
      <c r="P2095" s="376"/>
      <c r="Q2095" s="376"/>
      <c r="R2095" s="376"/>
    </row>
    <row r="2096" spans="15:18">
      <c r="O2096" s="376"/>
      <c r="P2096" s="376"/>
      <c r="Q2096" s="376"/>
      <c r="R2096" s="376"/>
    </row>
    <row r="2097" spans="15:18">
      <c r="O2097" s="376"/>
      <c r="P2097" s="376"/>
      <c r="Q2097" s="376"/>
      <c r="R2097" s="376"/>
    </row>
    <row r="2098" spans="15:18">
      <c r="O2098" s="376"/>
      <c r="P2098" s="376"/>
      <c r="Q2098" s="376"/>
      <c r="R2098" s="376"/>
    </row>
    <row r="2099" spans="15:18">
      <c r="O2099" s="376"/>
      <c r="P2099" s="376"/>
      <c r="Q2099" s="376"/>
      <c r="R2099" s="376"/>
    </row>
    <row r="2100" spans="15:18">
      <c r="O2100" s="376"/>
      <c r="P2100" s="376"/>
      <c r="Q2100" s="376"/>
      <c r="R2100" s="376"/>
    </row>
    <row r="2101" spans="15:18">
      <c r="O2101" s="376"/>
      <c r="P2101" s="376"/>
      <c r="Q2101" s="376"/>
      <c r="R2101" s="376"/>
    </row>
    <row r="2102" spans="15:18">
      <c r="O2102" s="376"/>
      <c r="P2102" s="376"/>
      <c r="Q2102" s="376"/>
      <c r="R2102" s="376"/>
    </row>
    <row r="2103" spans="15:18">
      <c r="O2103" s="376"/>
      <c r="P2103" s="376"/>
      <c r="Q2103" s="376"/>
      <c r="R2103" s="376"/>
    </row>
    <row r="2104" spans="15:18">
      <c r="O2104" s="376"/>
      <c r="P2104" s="376"/>
      <c r="Q2104" s="376"/>
      <c r="R2104" s="376"/>
    </row>
    <row r="2105" spans="15:18">
      <c r="O2105" s="376"/>
      <c r="P2105" s="376"/>
      <c r="Q2105" s="376"/>
      <c r="R2105" s="376"/>
    </row>
    <row r="2106" spans="15:18">
      <c r="O2106" s="376"/>
      <c r="P2106" s="376"/>
      <c r="Q2106" s="376"/>
      <c r="R2106" s="376"/>
    </row>
    <row r="2107" spans="15:18">
      <c r="O2107" s="376"/>
      <c r="P2107" s="376"/>
      <c r="Q2107" s="376"/>
      <c r="R2107" s="376"/>
    </row>
    <row r="2108" spans="15:18">
      <c r="O2108" s="376"/>
      <c r="P2108" s="376"/>
      <c r="Q2108" s="376"/>
      <c r="R2108" s="376"/>
    </row>
    <row r="2109" spans="15:18">
      <c r="O2109" s="376"/>
      <c r="P2109" s="376"/>
      <c r="Q2109" s="376"/>
      <c r="R2109" s="376"/>
    </row>
    <row r="2110" spans="15:18">
      <c r="O2110" s="376"/>
      <c r="P2110" s="376"/>
      <c r="Q2110" s="376"/>
      <c r="R2110" s="376"/>
    </row>
    <row r="2111" spans="15:18">
      <c r="O2111" s="376"/>
      <c r="P2111" s="376"/>
      <c r="Q2111" s="376"/>
      <c r="R2111" s="376"/>
    </row>
    <row r="2112" spans="15:18">
      <c r="O2112" s="376"/>
      <c r="P2112" s="376"/>
      <c r="Q2112" s="376"/>
      <c r="R2112" s="376"/>
    </row>
    <row r="2113" spans="15:18">
      <c r="O2113" s="376"/>
      <c r="P2113" s="376"/>
      <c r="Q2113" s="376"/>
      <c r="R2113" s="376"/>
    </row>
    <row r="2114" spans="15:18">
      <c r="O2114" s="376"/>
      <c r="P2114" s="376"/>
      <c r="Q2114" s="376"/>
      <c r="R2114" s="376"/>
    </row>
    <row r="2115" spans="15:18">
      <c r="O2115" s="376"/>
      <c r="P2115" s="376"/>
      <c r="Q2115" s="376"/>
      <c r="R2115" s="376"/>
    </row>
    <row r="2116" spans="15:18">
      <c r="O2116" s="376"/>
      <c r="P2116" s="376"/>
      <c r="Q2116" s="376"/>
      <c r="R2116" s="376"/>
    </row>
    <row r="2117" spans="15:18">
      <c r="O2117" s="376"/>
      <c r="P2117" s="376"/>
      <c r="Q2117" s="376"/>
      <c r="R2117" s="376"/>
    </row>
    <row r="2118" spans="15:18">
      <c r="O2118" s="376"/>
      <c r="P2118" s="376"/>
      <c r="Q2118" s="376"/>
      <c r="R2118" s="376"/>
    </row>
    <row r="2119" spans="15:18">
      <c r="O2119" s="376"/>
      <c r="P2119" s="376"/>
      <c r="Q2119" s="376"/>
      <c r="R2119" s="376"/>
    </row>
    <row r="2120" spans="15:18">
      <c r="O2120" s="376"/>
      <c r="P2120" s="376"/>
      <c r="Q2120" s="376"/>
      <c r="R2120" s="376"/>
    </row>
    <row r="2121" spans="15:18">
      <c r="O2121" s="376"/>
      <c r="P2121" s="376"/>
      <c r="Q2121" s="376"/>
      <c r="R2121" s="376"/>
    </row>
    <row r="2122" spans="15:18">
      <c r="O2122" s="376"/>
      <c r="P2122" s="376"/>
      <c r="Q2122" s="376"/>
      <c r="R2122" s="376"/>
    </row>
    <row r="2123" spans="15:18">
      <c r="O2123" s="376"/>
      <c r="P2123" s="376"/>
      <c r="Q2123" s="376"/>
      <c r="R2123" s="376"/>
    </row>
    <row r="2124" spans="15:18">
      <c r="O2124" s="376"/>
      <c r="P2124" s="376"/>
      <c r="Q2124" s="376"/>
      <c r="R2124" s="376"/>
    </row>
    <row r="2125" spans="15:18">
      <c r="O2125" s="376"/>
      <c r="P2125" s="376"/>
      <c r="Q2125" s="376"/>
      <c r="R2125" s="376"/>
    </row>
    <row r="2126" spans="15:18">
      <c r="O2126" s="376"/>
      <c r="P2126" s="376"/>
      <c r="Q2126" s="376"/>
      <c r="R2126" s="376"/>
    </row>
    <row r="2127" spans="15:18">
      <c r="O2127" s="376"/>
      <c r="P2127" s="376"/>
      <c r="Q2127" s="376"/>
      <c r="R2127" s="376"/>
    </row>
    <row r="2128" spans="15:18">
      <c r="O2128" s="376"/>
      <c r="P2128" s="376"/>
      <c r="Q2128" s="376"/>
      <c r="R2128" s="376"/>
    </row>
    <row r="2129" spans="15:18">
      <c r="O2129" s="376"/>
      <c r="P2129" s="376"/>
      <c r="Q2129" s="376"/>
      <c r="R2129" s="376"/>
    </row>
    <row r="2130" spans="15:18">
      <c r="O2130" s="376"/>
      <c r="P2130" s="376"/>
      <c r="Q2130" s="376"/>
      <c r="R2130" s="376"/>
    </row>
    <row r="2131" spans="15:18">
      <c r="O2131" s="376"/>
      <c r="P2131" s="376"/>
      <c r="Q2131" s="376"/>
      <c r="R2131" s="376"/>
    </row>
    <row r="2132" spans="15:18">
      <c r="O2132" s="376"/>
      <c r="P2132" s="376"/>
      <c r="Q2132" s="376"/>
      <c r="R2132" s="376"/>
    </row>
    <row r="2133" spans="15:18">
      <c r="O2133" s="376"/>
      <c r="P2133" s="376"/>
      <c r="Q2133" s="376"/>
      <c r="R2133" s="376"/>
    </row>
    <row r="2134" spans="15:18">
      <c r="O2134" s="376"/>
      <c r="P2134" s="376"/>
      <c r="Q2134" s="376"/>
      <c r="R2134" s="376"/>
    </row>
    <row r="2135" spans="15:18">
      <c r="O2135" s="376"/>
      <c r="P2135" s="376"/>
      <c r="Q2135" s="376"/>
      <c r="R2135" s="376"/>
    </row>
    <row r="2136" spans="15:18">
      <c r="O2136" s="376"/>
      <c r="P2136" s="376"/>
      <c r="Q2136" s="376"/>
      <c r="R2136" s="376"/>
    </row>
    <row r="2137" spans="15:18">
      <c r="O2137" s="376"/>
      <c r="P2137" s="376"/>
      <c r="Q2137" s="376"/>
      <c r="R2137" s="376"/>
    </row>
    <row r="2138" spans="15:18">
      <c r="O2138" s="376"/>
      <c r="P2138" s="376"/>
      <c r="Q2138" s="376"/>
      <c r="R2138" s="376"/>
    </row>
    <row r="2139" spans="15:18">
      <c r="O2139" s="376"/>
      <c r="P2139" s="376"/>
      <c r="Q2139" s="376"/>
      <c r="R2139" s="376"/>
    </row>
    <row r="2140" spans="15:18">
      <c r="O2140" s="376"/>
      <c r="P2140" s="376"/>
      <c r="Q2140" s="376"/>
      <c r="R2140" s="376"/>
    </row>
    <row r="2141" spans="15:18">
      <c r="O2141" s="376"/>
      <c r="P2141" s="376"/>
      <c r="Q2141" s="376"/>
      <c r="R2141" s="376"/>
    </row>
    <row r="2142" spans="15:18">
      <c r="O2142" s="376"/>
      <c r="P2142" s="376"/>
      <c r="Q2142" s="376"/>
      <c r="R2142" s="376"/>
    </row>
    <row r="2143" spans="15:18">
      <c r="O2143" s="376"/>
      <c r="P2143" s="376"/>
      <c r="Q2143" s="376"/>
      <c r="R2143" s="376"/>
    </row>
    <row r="2144" spans="15:18">
      <c r="O2144" s="376"/>
      <c r="P2144" s="376"/>
      <c r="Q2144" s="376"/>
      <c r="R2144" s="376"/>
    </row>
    <row r="2145" spans="15:18">
      <c r="O2145" s="376"/>
      <c r="P2145" s="376"/>
      <c r="Q2145" s="376"/>
      <c r="R2145" s="376"/>
    </row>
    <row r="2146" spans="15:18">
      <c r="O2146" s="376"/>
      <c r="P2146" s="376"/>
      <c r="Q2146" s="376"/>
      <c r="R2146" s="376"/>
    </row>
    <row r="2147" spans="15:18">
      <c r="O2147" s="376"/>
      <c r="P2147" s="376"/>
      <c r="Q2147" s="376"/>
      <c r="R2147" s="376"/>
    </row>
    <row r="2148" spans="15:18">
      <c r="O2148" s="376"/>
      <c r="P2148" s="376"/>
      <c r="Q2148" s="376"/>
      <c r="R2148" s="376"/>
    </row>
    <row r="2149" spans="15:18">
      <c r="O2149" s="376"/>
      <c r="P2149" s="376"/>
      <c r="Q2149" s="376"/>
      <c r="R2149" s="376"/>
    </row>
    <row r="2150" spans="15:18">
      <c r="O2150" s="376"/>
      <c r="P2150" s="376"/>
      <c r="Q2150" s="376"/>
      <c r="R2150" s="376"/>
    </row>
    <row r="2151" spans="15:18">
      <c r="O2151" s="376"/>
      <c r="P2151" s="376"/>
      <c r="Q2151" s="376"/>
      <c r="R2151" s="376"/>
    </row>
    <row r="2152" spans="15:18">
      <c r="O2152" s="376"/>
      <c r="P2152" s="376"/>
      <c r="Q2152" s="376"/>
      <c r="R2152" s="376"/>
    </row>
    <row r="2153" spans="15:18">
      <c r="O2153" s="376"/>
      <c r="P2153" s="376"/>
      <c r="Q2153" s="376"/>
      <c r="R2153" s="376"/>
    </row>
    <row r="2154" spans="15:18">
      <c r="O2154" s="376"/>
      <c r="P2154" s="376"/>
      <c r="Q2154" s="376"/>
      <c r="R2154" s="376"/>
    </row>
    <row r="2155" spans="15:18">
      <c r="O2155" s="376"/>
      <c r="P2155" s="376"/>
      <c r="Q2155" s="376"/>
      <c r="R2155" s="376"/>
    </row>
    <row r="2156" spans="15:18">
      <c r="O2156" s="376"/>
      <c r="P2156" s="376"/>
      <c r="Q2156" s="376"/>
      <c r="R2156" s="376"/>
    </row>
    <row r="2157" spans="15:18">
      <c r="O2157" s="376"/>
      <c r="P2157" s="376"/>
      <c r="Q2157" s="376"/>
      <c r="R2157" s="376"/>
    </row>
    <row r="2158" spans="15:18">
      <c r="O2158" s="376"/>
      <c r="P2158" s="376"/>
      <c r="Q2158" s="376"/>
      <c r="R2158" s="376"/>
    </row>
    <row r="2159" spans="15:18">
      <c r="O2159" s="376"/>
      <c r="P2159" s="376"/>
      <c r="Q2159" s="376"/>
      <c r="R2159" s="376"/>
    </row>
    <row r="2160" spans="15:18">
      <c r="O2160" s="376"/>
      <c r="P2160" s="376"/>
      <c r="Q2160" s="376"/>
      <c r="R2160" s="376"/>
    </row>
    <row r="2161" spans="15:18">
      <c r="O2161" s="376"/>
      <c r="P2161" s="376"/>
      <c r="Q2161" s="376"/>
      <c r="R2161" s="376"/>
    </row>
    <row r="2162" spans="15:18">
      <c r="O2162" s="376"/>
      <c r="P2162" s="376"/>
      <c r="Q2162" s="376"/>
      <c r="R2162" s="376"/>
    </row>
    <row r="2163" spans="15:18">
      <c r="O2163" s="376"/>
      <c r="P2163" s="376"/>
      <c r="Q2163" s="376"/>
      <c r="R2163" s="376"/>
    </row>
    <row r="2164" spans="15:18">
      <c r="O2164" s="376"/>
      <c r="P2164" s="376"/>
      <c r="Q2164" s="376"/>
      <c r="R2164" s="376"/>
    </row>
    <row r="2165" spans="15:18">
      <c r="O2165" s="376"/>
      <c r="P2165" s="376"/>
      <c r="Q2165" s="376"/>
      <c r="R2165" s="376"/>
    </row>
    <row r="2166" spans="15:18">
      <c r="O2166" s="376"/>
      <c r="P2166" s="376"/>
      <c r="Q2166" s="376"/>
      <c r="R2166" s="376"/>
    </row>
    <row r="2167" spans="15:18">
      <c r="O2167" s="376"/>
      <c r="P2167" s="376"/>
      <c r="Q2167" s="376"/>
      <c r="R2167" s="376"/>
    </row>
    <row r="2168" spans="15:18">
      <c r="O2168" s="376"/>
      <c r="P2168" s="376"/>
      <c r="Q2168" s="376"/>
      <c r="R2168" s="376"/>
    </row>
    <row r="2169" spans="15:18">
      <c r="O2169" s="376"/>
      <c r="P2169" s="376"/>
      <c r="Q2169" s="376"/>
      <c r="R2169" s="376"/>
    </row>
    <row r="2170" spans="15:18">
      <c r="O2170" s="376"/>
      <c r="P2170" s="376"/>
      <c r="Q2170" s="376"/>
      <c r="R2170" s="376"/>
    </row>
    <row r="2171" spans="15:18">
      <c r="O2171" s="376"/>
      <c r="P2171" s="376"/>
      <c r="Q2171" s="376"/>
      <c r="R2171" s="376"/>
    </row>
    <row r="2172" spans="15:18">
      <c r="O2172" s="376"/>
      <c r="P2172" s="376"/>
      <c r="Q2172" s="376"/>
      <c r="R2172" s="376"/>
    </row>
    <row r="2173" spans="15:18">
      <c r="O2173" s="376"/>
      <c r="P2173" s="376"/>
      <c r="Q2173" s="376"/>
      <c r="R2173" s="376"/>
    </row>
    <row r="2174" spans="15:18">
      <c r="O2174" s="376"/>
      <c r="P2174" s="376"/>
      <c r="Q2174" s="376"/>
      <c r="R2174" s="376"/>
    </row>
    <row r="2175" spans="15:18">
      <c r="O2175" s="376"/>
      <c r="P2175" s="376"/>
      <c r="Q2175" s="376"/>
      <c r="R2175" s="376"/>
    </row>
    <row r="2176" spans="15:18">
      <c r="O2176" s="376"/>
      <c r="P2176" s="376"/>
      <c r="Q2176" s="376"/>
      <c r="R2176" s="376"/>
    </row>
    <row r="2177" spans="15:18">
      <c r="O2177" s="376"/>
      <c r="P2177" s="376"/>
      <c r="Q2177" s="376"/>
      <c r="R2177" s="376"/>
    </row>
    <row r="2178" spans="15:18">
      <c r="O2178" s="376"/>
      <c r="P2178" s="376"/>
      <c r="Q2178" s="376"/>
      <c r="R2178" s="376"/>
    </row>
    <row r="2179" spans="15:18">
      <c r="O2179" s="376"/>
      <c r="P2179" s="376"/>
      <c r="Q2179" s="376"/>
      <c r="R2179" s="376"/>
    </row>
    <row r="2180" spans="15:18">
      <c r="O2180" s="376"/>
      <c r="P2180" s="376"/>
      <c r="Q2180" s="376"/>
      <c r="R2180" s="376"/>
    </row>
    <row r="2181" spans="15:18">
      <c r="O2181" s="376"/>
      <c r="P2181" s="376"/>
      <c r="Q2181" s="376"/>
      <c r="R2181" s="376"/>
    </row>
    <row r="2182" spans="15:18">
      <c r="O2182" s="376"/>
      <c r="P2182" s="376"/>
      <c r="Q2182" s="376"/>
      <c r="R2182" s="376"/>
    </row>
    <row r="2183" spans="15:18">
      <c r="O2183" s="376"/>
      <c r="P2183" s="376"/>
      <c r="Q2183" s="376"/>
      <c r="R2183" s="376"/>
    </row>
    <row r="2184" spans="15:18">
      <c r="O2184" s="376"/>
      <c r="P2184" s="376"/>
      <c r="Q2184" s="376"/>
      <c r="R2184" s="376"/>
    </row>
    <row r="2185" spans="15:18">
      <c r="O2185" s="376"/>
      <c r="P2185" s="376"/>
      <c r="Q2185" s="376"/>
      <c r="R2185" s="376"/>
    </row>
    <row r="2186" spans="15:18">
      <c r="O2186" s="376"/>
      <c r="P2186" s="376"/>
      <c r="Q2186" s="376"/>
      <c r="R2186" s="376"/>
    </row>
    <row r="2187" spans="15:18">
      <c r="O2187" s="376"/>
      <c r="P2187" s="376"/>
      <c r="Q2187" s="376"/>
      <c r="R2187" s="376"/>
    </row>
    <row r="2188" spans="15:18">
      <c r="O2188" s="376"/>
      <c r="P2188" s="376"/>
      <c r="Q2188" s="376"/>
      <c r="R2188" s="376"/>
    </row>
    <row r="2189" spans="15:18">
      <c r="O2189" s="376"/>
      <c r="P2189" s="376"/>
      <c r="Q2189" s="376"/>
      <c r="R2189" s="376"/>
    </row>
    <row r="2190" spans="15:18">
      <c r="O2190" s="376"/>
      <c r="P2190" s="376"/>
      <c r="Q2190" s="376"/>
      <c r="R2190" s="376"/>
    </row>
    <row r="2191" spans="15:18">
      <c r="O2191" s="376"/>
      <c r="P2191" s="376"/>
      <c r="Q2191" s="376"/>
      <c r="R2191" s="376"/>
    </row>
    <row r="2192" spans="15:18">
      <c r="O2192" s="376"/>
      <c r="P2192" s="376"/>
      <c r="Q2192" s="376"/>
      <c r="R2192" s="376"/>
    </row>
    <row r="2193" spans="15:18">
      <c r="O2193" s="376"/>
      <c r="P2193" s="376"/>
      <c r="Q2193" s="376"/>
      <c r="R2193" s="376"/>
    </row>
    <row r="2194" spans="15:18">
      <c r="O2194" s="376"/>
      <c r="P2194" s="376"/>
      <c r="Q2194" s="376"/>
      <c r="R2194" s="376"/>
    </row>
    <row r="2195" spans="15:18">
      <c r="O2195" s="376"/>
      <c r="P2195" s="376"/>
      <c r="Q2195" s="376"/>
      <c r="R2195" s="376"/>
    </row>
    <row r="2196" spans="15:18">
      <c r="O2196" s="376"/>
      <c r="P2196" s="376"/>
      <c r="Q2196" s="376"/>
      <c r="R2196" s="376"/>
    </row>
    <row r="2197" spans="15:18">
      <c r="O2197" s="376"/>
      <c r="P2197" s="376"/>
      <c r="Q2197" s="376"/>
      <c r="R2197" s="376"/>
    </row>
    <row r="2198" spans="15:18">
      <c r="O2198" s="376"/>
      <c r="P2198" s="376"/>
      <c r="Q2198" s="376"/>
      <c r="R2198" s="376"/>
    </row>
    <row r="2199" spans="15:18">
      <c r="O2199" s="376"/>
      <c r="P2199" s="376"/>
      <c r="Q2199" s="376"/>
      <c r="R2199" s="376"/>
    </row>
    <row r="2200" spans="15:18">
      <c r="O2200" s="376"/>
      <c r="P2200" s="376"/>
      <c r="Q2200" s="376"/>
      <c r="R2200" s="376"/>
    </row>
    <row r="2201" spans="15:18">
      <c r="O2201" s="376"/>
      <c r="P2201" s="376"/>
      <c r="Q2201" s="376"/>
      <c r="R2201" s="376"/>
    </row>
    <row r="2202" spans="15:18">
      <c r="O2202" s="376"/>
      <c r="P2202" s="376"/>
      <c r="Q2202" s="376"/>
      <c r="R2202" s="376"/>
    </row>
    <row r="2203" spans="15:18">
      <c r="O2203" s="376"/>
      <c r="P2203" s="376"/>
      <c r="Q2203" s="376"/>
      <c r="R2203" s="376"/>
    </row>
    <row r="2204" spans="15:18">
      <c r="O2204" s="376"/>
      <c r="P2204" s="376"/>
      <c r="Q2204" s="376"/>
      <c r="R2204" s="376"/>
    </row>
    <row r="2205" spans="15:18">
      <c r="O2205" s="376"/>
      <c r="P2205" s="376"/>
      <c r="Q2205" s="376"/>
      <c r="R2205" s="376"/>
    </row>
    <row r="2206" spans="15:18">
      <c r="O2206" s="376"/>
      <c r="P2206" s="376"/>
      <c r="Q2206" s="376"/>
      <c r="R2206" s="376"/>
    </row>
    <row r="2207" spans="15:18">
      <c r="O2207" s="376"/>
      <c r="P2207" s="376"/>
      <c r="Q2207" s="376"/>
      <c r="R2207" s="376"/>
    </row>
    <row r="2208" spans="15:18">
      <c r="O2208" s="376"/>
      <c r="P2208" s="376"/>
      <c r="Q2208" s="376"/>
      <c r="R2208" s="376"/>
    </row>
    <row r="2209" spans="15:18">
      <c r="O2209" s="376"/>
      <c r="P2209" s="376"/>
      <c r="Q2209" s="376"/>
      <c r="R2209" s="376"/>
    </row>
    <row r="2210" spans="15:18">
      <c r="O2210" s="376"/>
      <c r="P2210" s="376"/>
      <c r="Q2210" s="376"/>
      <c r="R2210" s="376"/>
    </row>
    <row r="2211" spans="15:18">
      <c r="O2211" s="376"/>
      <c r="P2211" s="376"/>
      <c r="Q2211" s="376"/>
      <c r="R2211" s="376"/>
    </row>
    <row r="2212" spans="15:18">
      <c r="O2212" s="376"/>
      <c r="P2212" s="376"/>
      <c r="Q2212" s="376"/>
      <c r="R2212" s="376"/>
    </row>
    <row r="2213" spans="15:18">
      <c r="O2213" s="376"/>
      <c r="P2213" s="376"/>
      <c r="Q2213" s="376"/>
      <c r="R2213" s="376"/>
    </row>
    <row r="2214" spans="15:18">
      <c r="O2214" s="376"/>
      <c r="P2214" s="376"/>
      <c r="Q2214" s="376"/>
      <c r="R2214" s="376"/>
    </row>
    <row r="2215" spans="15:18">
      <c r="O2215" s="376"/>
      <c r="P2215" s="376"/>
      <c r="Q2215" s="376"/>
      <c r="R2215" s="376"/>
    </row>
    <row r="2216" spans="15:18">
      <c r="O2216" s="376"/>
      <c r="P2216" s="376"/>
      <c r="Q2216" s="376"/>
      <c r="R2216" s="376"/>
    </row>
    <row r="2217" spans="15:18">
      <c r="O2217" s="376"/>
      <c r="P2217" s="376"/>
      <c r="Q2217" s="376"/>
      <c r="R2217" s="376"/>
    </row>
    <row r="2218" spans="15:18">
      <c r="O2218" s="376"/>
      <c r="P2218" s="376"/>
      <c r="Q2218" s="376"/>
      <c r="R2218" s="376"/>
    </row>
    <row r="2219" spans="15:18">
      <c r="O2219" s="376"/>
      <c r="P2219" s="376"/>
      <c r="Q2219" s="376"/>
      <c r="R2219" s="376"/>
    </row>
    <row r="2220" spans="15:18">
      <c r="O2220" s="376"/>
      <c r="P2220" s="376"/>
      <c r="Q2220" s="376"/>
      <c r="R2220" s="376"/>
    </row>
    <row r="2221" spans="15:18">
      <c r="O2221" s="376"/>
      <c r="P2221" s="376"/>
      <c r="Q2221" s="376"/>
      <c r="R2221" s="376"/>
    </row>
    <row r="2222" spans="15:18">
      <c r="O2222" s="376"/>
      <c r="P2222" s="376"/>
      <c r="Q2222" s="376"/>
      <c r="R2222" s="376"/>
    </row>
    <row r="2223" spans="15:18">
      <c r="O2223" s="376"/>
      <c r="P2223" s="376"/>
      <c r="Q2223" s="376"/>
      <c r="R2223" s="376"/>
    </row>
    <row r="2224" spans="15:18">
      <c r="O2224" s="376"/>
      <c r="P2224" s="376"/>
      <c r="Q2224" s="376"/>
      <c r="R2224" s="376"/>
    </row>
    <row r="2225" spans="15:18">
      <c r="O2225" s="376"/>
      <c r="P2225" s="376"/>
      <c r="Q2225" s="376"/>
      <c r="R2225" s="376"/>
    </row>
    <row r="2226" spans="15:18">
      <c r="O2226" s="376"/>
      <c r="P2226" s="376"/>
      <c r="Q2226" s="376"/>
      <c r="R2226" s="376"/>
    </row>
    <row r="2227" spans="15:18">
      <c r="O2227" s="376"/>
      <c r="P2227" s="376"/>
      <c r="Q2227" s="376"/>
      <c r="R2227" s="376"/>
    </row>
    <row r="2228" spans="15:18">
      <c r="O2228" s="376"/>
      <c r="P2228" s="376"/>
      <c r="Q2228" s="376"/>
      <c r="R2228" s="376"/>
    </row>
    <row r="2229" spans="15:18">
      <c r="O2229" s="376"/>
      <c r="P2229" s="376"/>
      <c r="Q2229" s="376"/>
      <c r="R2229" s="376"/>
    </row>
    <row r="2230" spans="15:18">
      <c r="O2230" s="376"/>
      <c r="P2230" s="376"/>
      <c r="Q2230" s="376"/>
      <c r="R2230" s="376"/>
    </row>
    <row r="2231" spans="15:18">
      <c r="O2231" s="376"/>
      <c r="P2231" s="376"/>
      <c r="Q2231" s="376"/>
      <c r="R2231" s="376"/>
    </row>
    <row r="2232" spans="15:18">
      <c r="O2232" s="376"/>
      <c r="P2232" s="376"/>
      <c r="Q2232" s="376"/>
      <c r="R2232" s="376"/>
    </row>
    <row r="2233" spans="15:18">
      <c r="O2233" s="376"/>
      <c r="P2233" s="376"/>
      <c r="Q2233" s="376"/>
      <c r="R2233" s="376"/>
    </row>
    <row r="2234" spans="15:18">
      <c r="O2234" s="376"/>
      <c r="P2234" s="376"/>
      <c r="Q2234" s="376"/>
      <c r="R2234" s="376"/>
    </row>
    <row r="2235" spans="15:18">
      <c r="O2235" s="376"/>
      <c r="P2235" s="376"/>
      <c r="Q2235" s="376"/>
      <c r="R2235" s="376"/>
    </row>
    <row r="2236" spans="15:18">
      <c r="O2236" s="376"/>
      <c r="P2236" s="376"/>
      <c r="Q2236" s="376"/>
      <c r="R2236" s="376"/>
    </row>
    <row r="2237" spans="15:18">
      <c r="O2237" s="376"/>
      <c r="P2237" s="376"/>
      <c r="Q2237" s="376"/>
      <c r="R2237" s="376"/>
    </row>
    <row r="2238" spans="15:18">
      <c r="O2238" s="376"/>
      <c r="P2238" s="376"/>
      <c r="Q2238" s="376"/>
      <c r="R2238" s="376"/>
    </row>
    <row r="2239" spans="15:18">
      <c r="O2239" s="376"/>
      <c r="P2239" s="376"/>
      <c r="Q2239" s="376"/>
      <c r="R2239" s="376"/>
    </row>
    <row r="2240" spans="15:18">
      <c r="O2240" s="376"/>
      <c r="P2240" s="376"/>
      <c r="Q2240" s="376"/>
      <c r="R2240" s="376"/>
    </row>
    <row r="2241" spans="15:18">
      <c r="O2241" s="376"/>
      <c r="P2241" s="376"/>
      <c r="Q2241" s="376"/>
      <c r="R2241" s="376"/>
    </row>
    <row r="2242" spans="15:18">
      <c r="O2242" s="376"/>
      <c r="P2242" s="376"/>
      <c r="Q2242" s="376"/>
      <c r="R2242" s="376"/>
    </row>
    <row r="2243" spans="15:18">
      <c r="O2243" s="376"/>
      <c r="P2243" s="376"/>
      <c r="Q2243" s="376"/>
      <c r="R2243" s="376"/>
    </row>
    <row r="2244" spans="15:18">
      <c r="O2244" s="376"/>
      <c r="P2244" s="376"/>
      <c r="Q2244" s="376"/>
      <c r="R2244" s="376"/>
    </row>
    <row r="2245" spans="15:18">
      <c r="O2245" s="376"/>
      <c r="P2245" s="376"/>
      <c r="Q2245" s="376"/>
      <c r="R2245" s="376"/>
    </row>
    <row r="2246" spans="15:18">
      <c r="O2246" s="376"/>
      <c r="P2246" s="376"/>
      <c r="Q2246" s="376"/>
      <c r="R2246" s="376"/>
    </row>
    <row r="2247" spans="15:18">
      <c r="O2247" s="376"/>
      <c r="P2247" s="376"/>
      <c r="Q2247" s="376"/>
      <c r="R2247" s="376"/>
    </row>
    <row r="2248" spans="15:18">
      <c r="O2248" s="376"/>
      <c r="P2248" s="376"/>
      <c r="Q2248" s="376"/>
      <c r="R2248" s="376"/>
    </row>
    <row r="2249" spans="15:18">
      <c r="O2249" s="376"/>
      <c r="P2249" s="376"/>
      <c r="Q2249" s="376"/>
      <c r="R2249" s="376"/>
    </row>
    <row r="2250" spans="15:18">
      <c r="O2250" s="376"/>
      <c r="P2250" s="376"/>
      <c r="Q2250" s="376"/>
      <c r="R2250" s="376"/>
    </row>
    <row r="2251" spans="15:18">
      <c r="O2251" s="376"/>
      <c r="P2251" s="376"/>
      <c r="Q2251" s="376"/>
      <c r="R2251" s="376"/>
    </row>
    <row r="2252" spans="15:18">
      <c r="O2252" s="376"/>
      <c r="P2252" s="376"/>
      <c r="Q2252" s="376"/>
      <c r="R2252" s="376"/>
    </row>
    <row r="2253" spans="15:18">
      <c r="O2253" s="376"/>
      <c r="P2253" s="376"/>
      <c r="Q2253" s="376"/>
      <c r="R2253" s="376"/>
    </row>
    <row r="2254" spans="15:18">
      <c r="O2254" s="376"/>
      <c r="P2254" s="376"/>
      <c r="Q2254" s="376"/>
      <c r="R2254" s="376"/>
    </row>
    <row r="2255" spans="15:18">
      <c r="O2255" s="376"/>
      <c r="P2255" s="376"/>
      <c r="Q2255" s="376"/>
      <c r="R2255" s="376"/>
    </row>
    <row r="2256" spans="15:18">
      <c r="O2256" s="376"/>
      <c r="P2256" s="376"/>
      <c r="Q2256" s="376"/>
      <c r="R2256" s="376"/>
    </row>
    <row r="2257" spans="15:18">
      <c r="O2257" s="376"/>
      <c r="P2257" s="376"/>
      <c r="Q2257" s="376"/>
      <c r="R2257" s="376"/>
    </row>
    <row r="2258" spans="15:18">
      <c r="O2258" s="376"/>
      <c r="P2258" s="376"/>
      <c r="Q2258" s="376"/>
      <c r="R2258" s="376"/>
    </row>
    <row r="2259" spans="15:18">
      <c r="O2259" s="376"/>
      <c r="P2259" s="376"/>
      <c r="Q2259" s="376"/>
      <c r="R2259" s="376"/>
    </row>
    <row r="2260" spans="15:18">
      <c r="O2260" s="376"/>
      <c r="P2260" s="376"/>
      <c r="Q2260" s="376"/>
      <c r="R2260" s="376"/>
    </row>
    <row r="2261" spans="15:18">
      <c r="O2261" s="376"/>
      <c r="P2261" s="376"/>
      <c r="Q2261" s="376"/>
      <c r="R2261" s="376"/>
    </row>
    <row r="2262" spans="15:18">
      <c r="O2262" s="376"/>
      <c r="P2262" s="376"/>
      <c r="Q2262" s="376"/>
      <c r="R2262" s="376"/>
    </row>
    <row r="2263" spans="15:18">
      <c r="O2263" s="376"/>
      <c r="P2263" s="376"/>
      <c r="Q2263" s="376"/>
      <c r="R2263" s="376"/>
    </row>
    <row r="2264" spans="15:18">
      <c r="O2264" s="376"/>
      <c r="P2264" s="376"/>
      <c r="Q2264" s="376"/>
      <c r="R2264" s="376"/>
    </row>
    <row r="2265" spans="15:18">
      <c r="O2265" s="376"/>
      <c r="P2265" s="376"/>
      <c r="Q2265" s="376"/>
      <c r="R2265" s="376"/>
    </row>
    <row r="2266" spans="15:18">
      <c r="O2266" s="376"/>
      <c r="P2266" s="376"/>
      <c r="Q2266" s="376"/>
      <c r="R2266" s="376"/>
    </row>
    <row r="2267" spans="15:18">
      <c r="O2267" s="376"/>
      <c r="P2267" s="376"/>
      <c r="Q2267" s="376"/>
      <c r="R2267" s="376"/>
    </row>
    <row r="2268" spans="15:18">
      <c r="O2268" s="376"/>
      <c r="P2268" s="376"/>
      <c r="Q2268" s="376"/>
      <c r="R2268" s="376"/>
    </row>
    <row r="2269" spans="15:18">
      <c r="O2269" s="376"/>
      <c r="P2269" s="376"/>
      <c r="Q2269" s="376"/>
      <c r="R2269" s="376"/>
    </row>
    <row r="2270" spans="15:18">
      <c r="O2270" s="376"/>
      <c r="P2270" s="376"/>
      <c r="Q2270" s="376"/>
      <c r="R2270" s="376"/>
    </row>
    <row r="2271" spans="15:18">
      <c r="O2271" s="376"/>
      <c r="P2271" s="376"/>
      <c r="Q2271" s="376"/>
      <c r="R2271" s="376"/>
    </row>
    <row r="2272" spans="15:18">
      <c r="O2272" s="376"/>
      <c r="P2272" s="376"/>
      <c r="Q2272" s="376"/>
      <c r="R2272" s="376"/>
    </row>
    <row r="2273" spans="15:18">
      <c r="O2273" s="376"/>
      <c r="P2273" s="376"/>
      <c r="Q2273" s="376"/>
      <c r="R2273" s="376"/>
    </row>
    <row r="2274" spans="15:18">
      <c r="O2274" s="376"/>
      <c r="P2274" s="376"/>
      <c r="Q2274" s="376"/>
      <c r="R2274" s="376"/>
    </row>
    <row r="2275" spans="15:18">
      <c r="O2275" s="376"/>
      <c r="P2275" s="376"/>
      <c r="Q2275" s="376"/>
      <c r="R2275" s="376"/>
    </row>
    <row r="2276" spans="15:18">
      <c r="O2276" s="376"/>
      <c r="P2276" s="376"/>
      <c r="Q2276" s="376"/>
      <c r="R2276" s="376"/>
    </row>
    <row r="2277" spans="15:18">
      <c r="O2277" s="376"/>
      <c r="P2277" s="376"/>
      <c r="Q2277" s="376"/>
      <c r="R2277" s="376"/>
    </row>
    <row r="2278" spans="15:18">
      <c r="O2278" s="376"/>
      <c r="P2278" s="376"/>
      <c r="Q2278" s="376"/>
      <c r="R2278" s="376"/>
    </row>
    <row r="2279" spans="15:18">
      <c r="O2279" s="376"/>
      <c r="P2279" s="376"/>
      <c r="Q2279" s="376"/>
      <c r="R2279" s="376"/>
    </row>
    <row r="2280" spans="15:18">
      <c r="O2280" s="376"/>
      <c r="P2280" s="376"/>
      <c r="Q2280" s="376"/>
      <c r="R2280" s="376"/>
    </row>
    <row r="2281" spans="15:18">
      <c r="O2281" s="376"/>
      <c r="P2281" s="376"/>
      <c r="Q2281" s="376"/>
      <c r="R2281" s="376"/>
    </row>
    <row r="2282" spans="15:18">
      <c r="O2282" s="376"/>
      <c r="P2282" s="376"/>
      <c r="Q2282" s="376"/>
      <c r="R2282" s="376"/>
    </row>
    <row r="2283" spans="15:18">
      <c r="O2283" s="376"/>
      <c r="P2283" s="376"/>
      <c r="Q2283" s="376"/>
      <c r="R2283" s="376"/>
    </row>
    <row r="2284" spans="15:18">
      <c r="O2284" s="376"/>
      <c r="P2284" s="376"/>
      <c r="Q2284" s="376"/>
      <c r="R2284" s="376"/>
    </row>
    <row r="2285" spans="15:18">
      <c r="O2285" s="376"/>
      <c r="P2285" s="376"/>
      <c r="Q2285" s="376"/>
      <c r="R2285" s="376"/>
    </row>
    <row r="2286" spans="15:18">
      <c r="O2286" s="376"/>
      <c r="P2286" s="376"/>
      <c r="Q2286" s="376"/>
      <c r="R2286" s="376"/>
    </row>
    <row r="2287" spans="15:18">
      <c r="O2287" s="376"/>
      <c r="P2287" s="376"/>
      <c r="Q2287" s="376"/>
      <c r="R2287" s="376"/>
    </row>
    <row r="2288" spans="15:18">
      <c r="O2288" s="376"/>
      <c r="P2288" s="376"/>
      <c r="Q2288" s="376"/>
      <c r="R2288" s="376"/>
    </row>
    <row r="2289" spans="15:18">
      <c r="O2289" s="376"/>
      <c r="P2289" s="376"/>
      <c r="Q2289" s="376"/>
      <c r="R2289" s="376"/>
    </row>
    <row r="2290" spans="15:18">
      <c r="O2290" s="376"/>
      <c r="P2290" s="376"/>
      <c r="Q2290" s="376"/>
      <c r="R2290" s="376"/>
    </row>
    <row r="2291" spans="15:18">
      <c r="O2291" s="376"/>
      <c r="P2291" s="376"/>
      <c r="Q2291" s="376"/>
      <c r="R2291" s="376"/>
    </row>
    <row r="2292" spans="15:18">
      <c r="O2292" s="376"/>
      <c r="P2292" s="376"/>
      <c r="Q2292" s="376"/>
      <c r="R2292" s="376"/>
    </row>
    <row r="2293" spans="15:18">
      <c r="O2293" s="376"/>
      <c r="P2293" s="376"/>
      <c r="Q2293" s="376"/>
      <c r="R2293" s="376"/>
    </row>
    <row r="2294" spans="15:18">
      <c r="O2294" s="376"/>
      <c r="P2294" s="376"/>
      <c r="Q2294" s="376"/>
      <c r="R2294" s="376"/>
    </row>
    <row r="2295" spans="15:18">
      <c r="O2295" s="376"/>
      <c r="P2295" s="376"/>
      <c r="Q2295" s="376"/>
      <c r="R2295" s="376"/>
    </row>
    <row r="2296" spans="15:18">
      <c r="O2296" s="376"/>
      <c r="P2296" s="376"/>
      <c r="Q2296" s="376"/>
      <c r="R2296" s="376"/>
    </row>
    <row r="2297" spans="15:18">
      <c r="O2297" s="376"/>
      <c r="P2297" s="376"/>
      <c r="Q2297" s="376"/>
      <c r="R2297" s="376"/>
    </row>
    <row r="2298" spans="15:18">
      <c r="O2298" s="376"/>
      <c r="P2298" s="376"/>
      <c r="Q2298" s="376"/>
      <c r="R2298" s="376"/>
    </row>
    <row r="2299" spans="15:18">
      <c r="O2299" s="376"/>
      <c r="P2299" s="376"/>
      <c r="Q2299" s="376"/>
      <c r="R2299" s="376"/>
    </row>
    <row r="2300" spans="15:18">
      <c r="O2300" s="376"/>
      <c r="P2300" s="376"/>
      <c r="Q2300" s="376"/>
      <c r="R2300" s="376"/>
    </row>
    <row r="2301" spans="15:18">
      <c r="O2301" s="376"/>
      <c r="P2301" s="376"/>
      <c r="Q2301" s="376"/>
      <c r="R2301" s="376"/>
    </row>
    <row r="2302" spans="15:18">
      <c r="O2302" s="376"/>
      <c r="P2302" s="376"/>
      <c r="Q2302" s="376"/>
      <c r="R2302" s="376"/>
    </row>
    <row r="2303" spans="15:18">
      <c r="O2303" s="376"/>
      <c r="P2303" s="376"/>
      <c r="Q2303" s="376"/>
      <c r="R2303" s="376"/>
    </row>
    <row r="2304" spans="15:18">
      <c r="O2304" s="376"/>
      <c r="P2304" s="376"/>
      <c r="Q2304" s="376"/>
      <c r="R2304" s="376"/>
    </row>
    <row r="2305" spans="15:18">
      <c r="O2305" s="376"/>
      <c r="P2305" s="376"/>
      <c r="Q2305" s="376"/>
      <c r="R2305" s="376"/>
    </row>
    <row r="2306" spans="15:18">
      <c r="O2306" s="376"/>
      <c r="P2306" s="376"/>
      <c r="Q2306" s="376"/>
      <c r="R2306" s="376"/>
    </row>
    <row r="2307" spans="15:18">
      <c r="O2307" s="376"/>
      <c r="P2307" s="376"/>
      <c r="Q2307" s="376"/>
      <c r="R2307" s="376"/>
    </row>
    <row r="2308" spans="15:18">
      <c r="O2308" s="376"/>
      <c r="P2308" s="376"/>
      <c r="Q2308" s="376"/>
      <c r="R2308" s="376"/>
    </row>
    <row r="2309" spans="15:18">
      <c r="O2309" s="376"/>
      <c r="P2309" s="376"/>
      <c r="Q2309" s="376"/>
      <c r="R2309" s="376"/>
    </row>
    <row r="2310" spans="15:18">
      <c r="O2310" s="376"/>
      <c r="P2310" s="376"/>
      <c r="Q2310" s="376"/>
      <c r="R2310" s="376"/>
    </row>
    <row r="2311" spans="15:18">
      <c r="O2311" s="376"/>
      <c r="P2311" s="376"/>
      <c r="Q2311" s="376"/>
      <c r="R2311" s="376"/>
    </row>
    <row r="2312" spans="15:18">
      <c r="O2312" s="376"/>
      <c r="P2312" s="376"/>
      <c r="Q2312" s="376"/>
      <c r="R2312" s="376"/>
    </row>
    <row r="2313" spans="15:18">
      <c r="O2313" s="376"/>
      <c r="P2313" s="376"/>
      <c r="Q2313" s="376"/>
      <c r="R2313" s="376"/>
    </row>
    <row r="2314" spans="15:18">
      <c r="O2314" s="376"/>
      <c r="P2314" s="376"/>
      <c r="Q2314" s="376"/>
      <c r="R2314" s="376"/>
    </row>
    <row r="2315" spans="15:18">
      <c r="O2315" s="376"/>
      <c r="P2315" s="376"/>
      <c r="Q2315" s="376"/>
      <c r="R2315" s="376"/>
    </row>
    <row r="2316" spans="15:18">
      <c r="O2316" s="376"/>
      <c r="P2316" s="376"/>
      <c r="Q2316" s="376"/>
      <c r="R2316" s="376"/>
    </row>
    <row r="2317" spans="15:18">
      <c r="O2317" s="376"/>
      <c r="P2317" s="376"/>
      <c r="Q2317" s="376"/>
      <c r="R2317" s="376"/>
    </row>
    <row r="2318" spans="15:18">
      <c r="O2318" s="376"/>
      <c r="P2318" s="376"/>
      <c r="Q2318" s="376"/>
      <c r="R2318" s="376"/>
    </row>
    <row r="2319" spans="15:18">
      <c r="O2319" s="376"/>
      <c r="P2319" s="376"/>
      <c r="Q2319" s="376"/>
      <c r="R2319" s="376"/>
    </row>
    <row r="2320" spans="15:18">
      <c r="O2320" s="376"/>
      <c r="P2320" s="376"/>
      <c r="Q2320" s="376"/>
      <c r="R2320" s="376"/>
    </row>
    <row r="2321" spans="15:18">
      <c r="O2321" s="376"/>
      <c r="P2321" s="376"/>
      <c r="Q2321" s="376"/>
      <c r="R2321" s="376"/>
    </row>
    <row r="2322" spans="15:18">
      <c r="O2322" s="376"/>
      <c r="P2322" s="376"/>
      <c r="Q2322" s="376"/>
      <c r="R2322" s="376"/>
    </row>
    <row r="2323" spans="15:18">
      <c r="O2323" s="376"/>
      <c r="P2323" s="376"/>
      <c r="Q2323" s="376"/>
      <c r="R2323" s="376"/>
    </row>
    <row r="2324" spans="15:18">
      <c r="O2324" s="376"/>
      <c r="P2324" s="376"/>
      <c r="Q2324" s="376"/>
      <c r="R2324" s="376"/>
    </row>
    <row r="2325" spans="15:18">
      <c r="O2325" s="376"/>
      <c r="P2325" s="376"/>
      <c r="Q2325" s="376"/>
      <c r="R2325" s="376"/>
    </row>
    <row r="2326" spans="15:18">
      <c r="O2326" s="376"/>
      <c r="P2326" s="376"/>
      <c r="Q2326" s="376"/>
      <c r="R2326" s="376"/>
    </row>
    <row r="2327" spans="15:18">
      <c r="O2327" s="376"/>
      <c r="P2327" s="376"/>
      <c r="Q2327" s="376"/>
      <c r="R2327" s="376"/>
    </row>
    <row r="2328" spans="15:18">
      <c r="O2328" s="376"/>
      <c r="P2328" s="376"/>
      <c r="Q2328" s="376"/>
      <c r="R2328" s="376"/>
    </row>
    <row r="2329" spans="15:18">
      <c r="O2329" s="376"/>
      <c r="P2329" s="376"/>
      <c r="Q2329" s="376"/>
      <c r="R2329" s="376"/>
    </row>
    <row r="2330" spans="15:18">
      <c r="O2330" s="376"/>
      <c r="P2330" s="376"/>
      <c r="Q2330" s="376"/>
      <c r="R2330" s="376"/>
    </row>
    <row r="2331" spans="15:18">
      <c r="O2331" s="376"/>
      <c r="P2331" s="376"/>
      <c r="Q2331" s="376"/>
      <c r="R2331" s="376"/>
    </row>
    <row r="2332" spans="15:18">
      <c r="O2332" s="376"/>
      <c r="P2332" s="376"/>
      <c r="Q2332" s="376"/>
      <c r="R2332" s="376"/>
    </row>
    <row r="2333" spans="15:18">
      <c r="O2333" s="376"/>
      <c r="P2333" s="376"/>
      <c r="Q2333" s="376"/>
      <c r="R2333" s="376"/>
    </row>
    <row r="2334" spans="15:18">
      <c r="O2334" s="376"/>
      <c r="P2334" s="376"/>
      <c r="Q2334" s="376"/>
      <c r="R2334" s="376"/>
    </row>
    <row r="2335" spans="15:18">
      <c r="O2335" s="376"/>
      <c r="P2335" s="376"/>
      <c r="Q2335" s="376"/>
      <c r="R2335" s="376"/>
    </row>
    <row r="2336" spans="15:18">
      <c r="O2336" s="376"/>
      <c r="P2336" s="376"/>
      <c r="Q2336" s="376"/>
      <c r="R2336" s="376"/>
    </row>
    <row r="2337" spans="15:18">
      <c r="O2337" s="376"/>
      <c r="P2337" s="376"/>
      <c r="Q2337" s="376"/>
      <c r="R2337" s="376"/>
    </row>
    <row r="2338" spans="15:18">
      <c r="O2338" s="376"/>
      <c r="P2338" s="376"/>
      <c r="Q2338" s="376"/>
      <c r="R2338" s="376"/>
    </row>
    <row r="2339" spans="15:18">
      <c r="O2339" s="376"/>
      <c r="P2339" s="376"/>
      <c r="Q2339" s="376"/>
      <c r="R2339" s="376"/>
    </row>
    <row r="2340" spans="15:18">
      <c r="O2340" s="376"/>
      <c r="P2340" s="376"/>
      <c r="Q2340" s="376"/>
      <c r="R2340" s="376"/>
    </row>
    <row r="2341" spans="15:18">
      <c r="O2341" s="376"/>
      <c r="P2341" s="376"/>
      <c r="Q2341" s="376"/>
      <c r="R2341" s="376"/>
    </row>
    <row r="2342" spans="15:18">
      <c r="O2342" s="376"/>
      <c r="P2342" s="376"/>
      <c r="Q2342" s="376"/>
      <c r="R2342" s="376"/>
    </row>
    <row r="2343" spans="15:18">
      <c r="O2343" s="376"/>
      <c r="P2343" s="376"/>
      <c r="Q2343" s="376"/>
      <c r="R2343" s="376"/>
    </row>
    <row r="2344" spans="15:18">
      <c r="O2344" s="376"/>
      <c r="P2344" s="376"/>
      <c r="Q2344" s="376"/>
      <c r="R2344" s="376"/>
    </row>
    <row r="2345" spans="15:18">
      <c r="O2345" s="376"/>
      <c r="P2345" s="376"/>
      <c r="Q2345" s="376"/>
      <c r="R2345" s="376"/>
    </row>
    <row r="2346" spans="15:18">
      <c r="O2346" s="376"/>
      <c r="P2346" s="376"/>
      <c r="Q2346" s="376"/>
      <c r="R2346" s="376"/>
    </row>
    <row r="2347" spans="15:18">
      <c r="O2347" s="376"/>
      <c r="P2347" s="376"/>
      <c r="Q2347" s="376"/>
      <c r="R2347" s="376"/>
    </row>
    <row r="2348" spans="15:18">
      <c r="O2348" s="376"/>
      <c r="P2348" s="376"/>
      <c r="Q2348" s="376"/>
      <c r="R2348" s="376"/>
    </row>
    <row r="2349" spans="15:18">
      <c r="O2349" s="376"/>
      <c r="P2349" s="376"/>
      <c r="Q2349" s="376"/>
      <c r="R2349" s="376"/>
    </row>
    <row r="2350" spans="15:18">
      <c r="O2350" s="376"/>
      <c r="P2350" s="376"/>
      <c r="Q2350" s="376"/>
      <c r="R2350" s="376"/>
    </row>
    <row r="2351" spans="15:18">
      <c r="O2351" s="376"/>
      <c r="P2351" s="376"/>
      <c r="Q2351" s="376"/>
      <c r="R2351" s="376"/>
    </row>
    <row r="2352" spans="15:18">
      <c r="O2352" s="376"/>
      <c r="P2352" s="376"/>
      <c r="Q2352" s="376"/>
      <c r="R2352" s="376"/>
    </row>
    <row r="2353" spans="15:18">
      <c r="O2353" s="376"/>
      <c r="P2353" s="376"/>
      <c r="Q2353" s="376"/>
      <c r="R2353" s="376"/>
    </row>
    <row r="2354" spans="15:18">
      <c r="O2354" s="376"/>
      <c r="P2354" s="376"/>
      <c r="Q2354" s="376"/>
      <c r="R2354" s="376"/>
    </row>
    <row r="2355" spans="15:18">
      <c r="O2355" s="376"/>
      <c r="P2355" s="376"/>
      <c r="Q2355" s="376"/>
      <c r="R2355" s="376"/>
    </row>
    <row r="2356" spans="15:18">
      <c r="O2356" s="376"/>
      <c r="P2356" s="376"/>
      <c r="Q2356" s="376"/>
      <c r="R2356" s="376"/>
    </row>
    <row r="2357" spans="15:18">
      <c r="O2357" s="376"/>
      <c r="P2357" s="376"/>
      <c r="Q2357" s="376"/>
      <c r="R2357" s="376"/>
    </row>
    <row r="2358" spans="15:18">
      <c r="O2358" s="376"/>
      <c r="P2358" s="376"/>
      <c r="Q2358" s="376"/>
      <c r="R2358" s="376"/>
    </row>
    <row r="2359" spans="15:18">
      <c r="O2359" s="376"/>
      <c r="P2359" s="376"/>
      <c r="Q2359" s="376"/>
      <c r="R2359" s="376"/>
    </row>
    <row r="2360" spans="15:18">
      <c r="O2360" s="376"/>
      <c r="P2360" s="376"/>
      <c r="Q2360" s="376"/>
      <c r="R2360" s="376"/>
    </row>
    <row r="2361" spans="15:18">
      <c r="O2361" s="376"/>
      <c r="P2361" s="376"/>
      <c r="Q2361" s="376"/>
      <c r="R2361" s="376"/>
    </row>
    <row r="2362" spans="15:18">
      <c r="O2362" s="376"/>
      <c r="P2362" s="376"/>
      <c r="Q2362" s="376"/>
      <c r="R2362" s="376"/>
    </row>
    <row r="2363" spans="15:18">
      <c r="O2363" s="376"/>
      <c r="P2363" s="376"/>
      <c r="Q2363" s="376"/>
      <c r="R2363" s="376"/>
    </row>
    <row r="2364" spans="15:18">
      <c r="O2364" s="376"/>
      <c r="P2364" s="376"/>
      <c r="Q2364" s="376"/>
      <c r="R2364" s="376"/>
    </row>
    <row r="2365" spans="15:18">
      <c r="O2365" s="376"/>
      <c r="P2365" s="376"/>
      <c r="Q2365" s="376"/>
      <c r="R2365" s="376"/>
    </row>
    <row r="2366" spans="15:18">
      <c r="O2366" s="376"/>
      <c r="P2366" s="376"/>
      <c r="Q2366" s="376"/>
      <c r="R2366" s="376"/>
    </row>
    <row r="2367" spans="15:18">
      <c r="O2367" s="376"/>
      <c r="P2367" s="376"/>
      <c r="Q2367" s="376"/>
      <c r="R2367" s="376"/>
    </row>
    <row r="2368" spans="15:18">
      <c r="O2368" s="376"/>
      <c r="P2368" s="376"/>
      <c r="Q2368" s="376"/>
      <c r="R2368" s="376"/>
    </row>
    <row r="2369" spans="15:18">
      <c r="O2369" s="376"/>
      <c r="P2369" s="376"/>
      <c r="Q2369" s="376"/>
      <c r="R2369" s="376"/>
    </row>
    <row r="2370" spans="15:18">
      <c r="O2370" s="376"/>
      <c r="P2370" s="376"/>
      <c r="Q2370" s="376"/>
      <c r="R2370" s="376"/>
    </row>
    <row r="2371" spans="15:18">
      <c r="O2371" s="376"/>
      <c r="P2371" s="376"/>
      <c r="Q2371" s="376"/>
      <c r="R2371" s="376"/>
    </row>
    <row r="2372" spans="15:18">
      <c r="O2372" s="376"/>
      <c r="P2372" s="376"/>
      <c r="Q2372" s="376"/>
      <c r="R2372" s="376"/>
    </row>
    <row r="2373" spans="15:18">
      <c r="O2373" s="376"/>
      <c r="P2373" s="376"/>
      <c r="Q2373" s="376"/>
      <c r="R2373" s="376"/>
    </row>
    <row r="2374" spans="15:18">
      <c r="O2374" s="376"/>
      <c r="P2374" s="376"/>
      <c r="Q2374" s="376"/>
      <c r="R2374" s="376"/>
    </row>
    <row r="2375" spans="15:18">
      <c r="O2375" s="376"/>
      <c r="P2375" s="376"/>
      <c r="Q2375" s="376"/>
      <c r="R2375" s="376"/>
    </row>
    <row r="2376" spans="15:18">
      <c r="O2376" s="376"/>
      <c r="P2376" s="376"/>
      <c r="Q2376" s="376"/>
      <c r="R2376" s="376"/>
    </row>
    <row r="2377" spans="15:18">
      <c r="O2377" s="376"/>
      <c r="P2377" s="376"/>
      <c r="Q2377" s="376"/>
      <c r="R2377" s="376"/>
    </row>
    <row r="2378" spans="15:18">
      <c r="O2378" s="376"/>
      <c r="P2378" s="376"/>
      <c r="Q2378" s="376"/>
      <c r="R2378" s="376"/>
    </row>
    <row r="2379" spans="15:18">
      <c r="O2379" s="376"/>
      <c r="P2379" s="376"/>
      <c r="Q2379" s="376"/>
      <c r="R2379" s="376"/>
    </row>
    <row r="2380" spans="15:18">
      <c r="O2380" s="376"/>
      <c r="P2380" s="376"/>
      <c r="Q2380" s="376"/>
      <c r="R2380" s="376"/>
    </row>
    <row r="2381" spans="15:18">
      <c r="O2381" s="376"/>
      <c r="P2381" s="376"/>
      <c r="Q2381" s="376"/>
      <c r="R2381" s="376"/>
    </row>
    <row r="2382" spans="15:18">
      <c r="O2382" s="376"/>
      <c r="P2382" s="376"/>
      <c r="Q2382" s="376"/>
      <c r="R2382" s="376"/>
    </row>
    <row r="2383" spans="15:18">
      <c r="O2383" s="376"/>
      <c r="P2383" s="376"/>
      <c r="Q2383" s="376"/>
      <c r="R2383" s="376"/>
    </row>
    <row r="2384" spans="15:18">
      <c r="O2384" s="376"/>
      <c r="P2384" s="376"/>
      <c r="Q2384" s="376"/>
      <c r="R2384" s="376"/>
    </row>
    <row r="2385" spans="15:18">
      <c r="O2385" s="376"/>
      <c r="P2385" s="376"/>
      <c r="Q2385" s="376"/>
      <c r="R2385" s="376"/>
    </row>
    <row r="2386" spans="15:18">
      <c r="O2386" s="376"/>
      <c r="P2386" s="376"/>
      <c r="Q2386" s="376"/>
      <c r="R2386" s="376"/>
    </row>
    <row r="2387" spans="15:18">
      <c r="O2387" s="376"/>
      <c r="P2387" s="376"/>
      <c r="Q2387" s="376"/>
      <c r="R2387" s="376"/>
    </row>
    <row r="2388" spans="15:18">
      <c r="O2388" s="376"/>
      <c r="P2388" s="376"/>
      <c r="Q2388" s="376"/>
      <c r="R2388" s="376"/>
    </row>
    <row r="2389" spans="15:18">
      <c r="O2389" s="376"/>
      <c r="P2389" s="376"/>
      <c r="Q2389" s="376"/>
      <c r="R2389" s="376"/>
    </row>
    <row r="2390" spans="15:18">
      <c r="O2390" s="376"/>
      <c r="P2390" s="376"/>
      <c r="Q2390" s="376"/>
      <c r="R2390" s="376"/>
    </row>
    <row r="2391" spans="15:18">
      <c r="O2391" s="376"/>
      <c r="P2391" s="376"/>
      <c r="Q2391" s="376"/>
      <c r="R2391" s="376"/>
    </row>
    <row r="2392" spans="15:18">
      <c r="O2392" s="376"/>
      <c r="P2392" s="376"/>
      <c r="Q2392" s="376"/>
      <c r="R2392" s="376"/>
    </row>
    <row r="2393" spans="15:18">
      <c r="O2393" s="376"/>
      <c r="P2393" s="376"/>
      <c r="Q2393" s="376"/>
      <c r="R2393" s="376"/>
    </row>
    <row r="2394" spans="15:18">
      <c r="O2394" s="376"/>
      <c r="P2394" s="376"/>
      <c r="Q2394" s="376"/>
      <c r="R2394" s="376"/>
    </row>
    <row r="2395" spans="15:18">
      <c r="O2395" s="376"/>
      <c r="P2395" s="376"/>
      <c r="Q2395" s="376"/>
      <c r="R2395" s="376"/>
    </row>
    <row r="2396" spans="15:18">
      <c r="O2396" s="376"/>
      <c r="P2396" s="376"/>
      <c r="Q2396" s="376"/>
      <c r="R2396" s="376"/>
    </row>
    <row r="2397" spans="15:18">
      <c r="O2397" s="376"/>
      <c r="P2397" s="376"/>
      <c r="Q2397" s="376"/>
      <c r="R2397" s="376"/>
    </row>
    <row r="2398" spans="15:18">
      <c r="O2398" s="376"/>
      <c r="P2398" s="376"/>
      <c r="Q2398" s="376"/>
      <c r="R2398" s="376"/>
    </row>
    <row r="2399" spans="15:18">
      <c r="O2399" s="376"/>
      <c r="P2399" s="376"/>
      <c r="Q2399" s="376"/>
      <c r="R2399" s="376"/>
    </row>
    <row r="2400" spans="15:18">
      <c r="O2400" s="376"/>
      <c r="P2400" s="376"/>
      <c r="Q2400" s="376"/>
      <c r="R2400" s="376"/>
    </row>
    <row r="2401" spans="15:18">
      <c r="O2401" s="376"/>
      <c r="P2401" s="376"/>
      <c r="Q2401" s="376"/>
      <c r="R2401" s="376"/>
    </row>
    <row r="2402" spans="15:18">
      <c r="O2402" s="376"/>
      <c r="P2402" s="376"/>
      <c r="Q2402" s="376"/>
      <c r="R2402" s="376"/>
    </row>
    <row r="2403" spans="15:18">
      <c r="O2403" s="376"/>
      <c r="P2403" s="376"/>
      <c r="Q2403" s="376"/>
      <c r="R2403" s="376"/>
    </row>
    <row r="2404" spans="15:18">
      <c r="O2404" s="376"/>
      <c r="P2404" s="376"/>
      <c r="Q2404" s="376"/>
      <c r="R2404" s="376"/>
    </row>
    <row r="2405" spans="15:18">
      <c r="O2405" s="376"/>
      <c r="P2405" s="376"/>
      <c r="Q2405" s="376"/>
      <c r="R2405" s="376"/>
    </row>
    <row r="2406" spans="15:18">
      <c r="O2406" s="376"/>
      <c r="P2406" s="376"/>
      <c r="Q2406" s="376"/>
      <c r="R2406" s="376"/>
    </row>
    <row r="2407" spans="15:18">
      <c r="O2407" s="376"/>
      <c r="P2407" s="376"/>
      <c r="Q2407" s="376"/>
      <c r="R2407" s="376"/>
    </row>
    <row r="2408" spans="15:18">
      <c r="O2408" s="376"/>
      <c r="P2408" s="376"/>
      <c r="Q2408" s="376"/>
      <c r="R2408" s="376"/>
    </row>
    <row r="2409" spans="15:18">
      <c r="O2409" s="376"/>
      <c r="P2409" s="376"/>
      <c r="Q2409" s="376"/>
      <c r="R2409" s="376"/>
    </row>
    <row r="2410" spans="15:18">
      <c r="O2410" s="376"/>
      <c r="P2410" s="376"/>
      <c r="Q2410" s="376"/>
      <c r="R2410" s="376"/>
    </row>
    <row r="2411" spans="15:18">
      <c r="O2411" s="376"/>
      <c r="P2411" s="376"/>
      <c r="Q2411" s="376"/>
      <c r="R2411" s="376"/>
    </row>
    <row r="2412" spans="15:18">
      <c r="O2412" s="376"/>
      <c r="P2412" s="376"/>
      <c r="Q2412" s="376"/>
      <c r="R2412" s="376"/>
    </row>
    <row r="2413" spans="15:18">
      <c r="O2413" s="376"/>
      <c r="P2413" s="376"/>
      <c r="Q2413" s="376"/>
      <c r="R2413" s="376"/>
    </row>
    <row r="2414" spans="15:18">
      <c r="O2414" s="376"/>
      <c r="P2414" s="376"/>
      <c r="Q2414" s="376"/>
      <c r="R2414" s="376"/>
    </row>
    <row r="2415" spans="15:18">
      <c r="O2415" s="376"/>
      <c r="P2415" s="376"/>
      <c r="Q2415" s="376"/>
      <c r="R2415" s="376"/>
    </row>
    <row r="2416" spans="15:18">
      <c r="O2416" s="376"/>
      <c r="P2416" s="376"/>
      <c r="Q2416" s="376"/>
      <c r="R2416" s="376"/>
    </row>
    <row r="2417" spans="15:18">
      <c r="O2417" s="376"/>
      <c r="P2417" s="376"/>
      <c r="Q2417" s="376"/>
      <c r="R2417" s="376"/>
    </row>
    <row r="2418" spans="15:18">
      <c r="O2418" s="376"/>
      <c r="P2418" s="376"/>
      <c r="Q2418" s="376"/>
      <c r="R2418" s="376"/>
    </row>
    <row r="2419" spans="15:18">
      <c r="O2419" s="376"/>
      <c r="P2419" s="376"/>
      <c r="Q2419" s="376"/>
      <c r="R2419" s="376"/>
    </row>
    <row r="2420" spans="15:18">
      <c r="O2420" s="376"/>
      <c r="P2420" s="376"/>
      <c r="Q2420" s="376"/>
      <c r="R2420" s="376"/>
    </row>
    <row r="2421" spans="15:18">
      <c r="O2421" s="376"/>
      <c r="P2421" s="376"/>
      <c r="Q2421" s="376"/>
      <c r="R2421" s="376"/>
    </row>
    <row r="2422" spans="15:18">
      <c r="O2422" s="376"/>
      <c r="P2422" s="376"/>
      <c r="Q2422" s="376"/>
      <c r="R2422" s="376"/>
    </row>
    <row r="2423" spans="15:18">
      <c r="O2423" s="376"/>
      <c r="P2423" s="376"/>
      <c r="Q2423" s="376"/>
      <c r="R2423" s="376"/>
    </row>
    <row r="2424" spans="15:18">
      <c r="O2424" s="376"/>
      <c r="P2424" s="376"/>
      <c r="Q2424" s="376"/>
      <c r="R2424" s="376"/>
    </row>
    <row r="2425" spans="15:18">
      <c r="O2425" s="376"/>
      <c r="P2425" s="376"/>
      <c r="Q2425" s="376"/>
      <c r="R2425" s="376"/>
    </row>
    <row r="2426" spans="15:18">
      <c r="O2426" s="376"/>
      <c r="P2426" s="376"/>
      <c r="Q2426" s="376"/>
      <c r="R2426" s="376"/>
    </row>
    <row r="2427" spans="15:18">
      <c r="O2427" s="376"/>
      <c r="P2427" s="376"/>
      <c r="Q2427" s="376"/>
      <c r="R2427" s="376"/>
    </row>
    <row r="2428" spans="15:18">
      <c r="O2428" s="376"/>
      <c r="P2428" s="376"/>
      <c r="Q2428" s="376"/>
      <c r="R2428" s="376"/>
    </row>
    <row r="2429" spans="15:18">
      <c r="O2429" s="376"/>
      <c r="P2429" s="376"/>
      <c r="Q2429" s="376"/>
      <c r="R2429" s="376"/>
    </row>
    <row r="2430" spans="15:18">
      <c r="O2430" s="376"/>
      <c r="P2430" s="376"/>
      <c r="Q2430" s="376"/>
      <c r="R2430" s="376"/>
    </row>
    <row r="2431" spans="15:18">
      <c r="O2431" s="376"/>
      <c r="P2431" s="376"/>
      <c r="Q2431" s="376"/>
      <c r="R2431" s="376"/>
    </row>
    <row r="2432" spans="15:18">
      <c r="O2432" s="376"/>
      <c r="P2432" s="376"/>
      <c r="Q2432" s="376"/>
      <c r="R2432" s="376"/>
    </row>
    <row r="2433" spans="15:18">
      <c r="O2433" s="376"/>
      <c r="P2433" s="376"/>
      <c r="Q2433" s="376"/>
      <c r="R2433" s="376"/>
    </row>
    <row r="2434" spans="15:18">
      <c r="O2434" s="376"/>
      <c r="P2434" s="376"/>
      <c r="Q2434" s="376"/>
      <c r="R2434" s="376"/>
    </row>
    <row r="2435" spans="15:18">
      <c r="O2435" s="376"/>
      <c r="P2435" s="376"/>
      <c r="Q2435" s="376"/>
      <c r="R2435" s="376"/>
    </row>
    <row r="2436" spans="15:18">
      <c r="O2436" s="376"/>
      <c r="P2436" s="376"/>
      <c r="Q2436" s="376"/>
      <c r="R2436" s="376"/>
    </row>
    <row r="2437" spans="15:18">
      <c r="O2437" s="376"/>
      <c r="P2437" s="376"/>
      <c r="Q2437" s="376"/>
      <c r="R2437" s="376"/>
    </row>
    <row r="2438" spans="15:18">
      <c r="O2438" s="376"/>
      <c r="P2438" s="376"/>
      <c r="Q2438" s="376"/>
      <c r="R2438" s="376"/>
    </row>
    <row r="2439" spans="15:18">
      <c r="O2439" s="376"/>
      <c r="P2439" s="376"/>
      <c r="Q2439" s="376"/>
      <c r="R2439" s="376"/>
    </row>
    <row r="2440" spans="15:18">
      <c r="O2440" s="376"/>
      <c r="P2440" s="376"/>
      <c r="Q2440" s="376"/>
      <c r="R2440" s="376"/>
    </row>
    <row r="2441" spans="15:18">
      <c r="O2441" s="376"/>
      <c r="P2441" s="376"/>
      <c r="Q2441" s="376"/>
      <c r="R2441" s="376"/>
    </row>
    <row r="2442" spans="15:18">
      <c r="O2442" s="376"/>
      <c r="P2442" s="376"/>
      <c r="Q2442" s="376"/>
      <c r="R2442" s="376"/>
    </row>
    <row r="2443" spans="15:18">
      <c r="O2443" s="376"/>
      <c r="P2443" s="376"/>
      <c r="Q2443" s="376"/>
      <c r="R2443" s="376"/>
    </row>
    <row r="2444" spans="15:18">
      <c r="O2444" s="376"/>
      <c r="P2444" s="376"/>
      <c r="Q2444" s="376"/>
      <c r="R2444" s="376"/>
    </row>
    <row r="2445" spans="15:18">
      <c r="O2445" s="376"/>
      <c r="P2445" s="376"/>
      <c r="Q2445" s="376"/>
      <c r="R2445" s="376"/>
    </row>
    <row r="2446" spans="15:18">
      <c r="O2446" s="376"/>
      <c r="P2446" s="376"/>
      <c r="Q2446" s="376"/>
      <c r="R2446" s="376"/>
    </row>
    <row r="2447" spans="15:18">
      <c r="O2447" s="376"/>
      <c r="P2447" s="376"/>
      <c r="Q2447" s="376"/>
      <c r="R2447" s="376"/>
    </row>
    <row r="2448" spans="15:18">
      <c r="O2448" s="376"/>
      <c r="P2448" s="376"/>
      <c r="Q2448" s="376"/>
      <c r="R2448" s="376"/>
    </row>
    <row r="2449" spans="15:18">
      <c r="O2449" s="376"/>
      <c r="P2449" s="376"/>
      <c r="Q2449" s="376"/>
      <c r="R2449" s="376"/>
    </row>
    <row r="2450" spans="15:18">
      <c r="O2450" s="376"/>
      <c r="P2450" s="376"/>
      <c r="Q2450" s="376"/>
      <c r="R2450" s="376"/>
    </row>
    <row r="2451" spans="15:18">
      <c r="O2451" s="376"/>
      <c r="P2451" s="376"/>
      <c r="Q2451" s="376"/>
      <c r="R2451" s="376"/>
    </row>
    <row r="2452" spans="15:18">
      <c r="O2452" s="376"/>
      <c r="P2452" s="376"/>
      <c r="Q2452" s="376"/>
      <c r="R2452" s="376"/>
    </row>
    <row r="2453" spans="15:18">
      <c r="O2453" s="376"/>
      <c r="P2453" s="376"/>
      <c r="Q2453" s="376"/>
      <c r="R2453" s="376"/>
    </row>
    <row r="2454" spans="15:18">
      <c r="O2454" s="376"/>
      <c r="P2454" s="376"/>
      <c r="Q2454" s="376"/>
      <c r="R2454" s="376"/>
    </row>
    <row r="2455" spans="15:18">
      <c r="O2455" s="376"/>
      <c r="P2455" s="376"/>
      <c r="Q2455" s="376"/>
      <c r="R2455" s="376"/>
    </row>
    <row r="2456" spans="15:18">
      <c r="O2456" s="376"/>
      <c r="P2456" s="376"/>
      <c r="Q2456" s="376"/>
      <c r="R2456" s="376"/>
    </row>
    <row r="2457" spans="15:18">
      <c r="O2457" s="376"/>
      <c r="P2457" s="376"/>
      <c r="Q2457" s="376"/>
      <c r="R2457" s="376"/>
    </row>
    <row r="2458" spans="15:18">
      <c r="O2458" s="376"/>
      <c r="P2458" s="376"/>
      <c r="Q2458" s="376"/>
      <c r="R2458" s="376"/>
    </row>
    <row r="2459" spans="15:18">
      <c r="O2459" s="376"/>
      <c r="P2459" s="376"/>
      <c r="Q2459" s="376"/>
      <c r="R2459" s="376"/>
    </row>
    <row r="2460" spans="15:18">
      <c r="O2460" s="376"/>
      <c r="P2460" s="376"/>
      <c r="Q2460" s="376"/>
      <c r="R2460" s="376"/>
    </row>
    <row r="2461" spans="15:18">
      <c r="O2461" s="376"/>
      <c r="P2461" s="376"/>
      <c r="Q2461" s="376"/>
      <c r="R2461" s="376"/>
    </row>
    <row r="2462" spans="15:18">
      <c r="O2462" s="376"/>
      <c r="P2462" s="376"/>
      <c r="Q2462" s="376"/>
      <c r="R2462" s="376"/>
    </row>
    <row r="2463" spans="15:18">
      <c r="O2463" s="376"/>
      <c r="P2463" s="376"/>
      <c r="Q2463" s="376"/>
      <c r="R2463" s="376"/>
    </row>
    <row r="2464" spans="15:18">
      <c r="O2464" s="376"/>
      <c r="P2464" s="376"/>
      <c r="Q2464" s="376"/>
      <c r="R2464" s="376"/>
    </row>
    <row r="2465" spans="15:18">
      <c r="O2465" s="376"/>
      <c r="P2465" s="376"/>
      <c r="Q2465" s="376"/>
      <c r="R2465" s="376"/>
    </row>
    <row r="2466" spans="15:18">
      <c r="O2466" s="376"/>
      <c r="P2466" s="376"/>
      <c r="Q2466" s="376"/>
      <c r="R2466" s="376"/>
    </row>
    <row r="2467" spans="15:18">
      <c r="O2467" s="376"/>
      <c r="P2467" s="376"/>
      <c r="Q2467" s="376"/>
      <c r="R2467" s="376"/>
    </row>
    <row r="2468" spans="15:18">
      <c r="O2468" s="376"/>
      <c r="P2468" s="376"/>
      <c r="Q2468" s="376"/>
      <c r="R2468" s="376"/>
    </row>
    <row r="2469" spans="15:18">
      <c r="O2469" s="376"/>
      <c r="P2469" s="376"/>
      <c r="Q2469" s="376"/>
      <c r="R2469" s="376"/>
    </row>
    <row r="2470" spans="15:18">
      <c r="O2470" s="376"/>
      <c r="P2470" s="376"/>
      <c r="Q2470" s="376"/>
      <c r="R2470" s="376"/>
    </row>
    <row r="2471" spans="15:18">
      <c r="O2471" s="376"/>
      <c r="P2471" s="376"/>
      <c r="Q2471" s="376"/>
      <c r="R2471" s="376"/>
    </row>
    <row r="2472" spans="15:18">
      <c r="O2472" s="376"/>
      <c r="P2472" s="376"/>
      <c r="Q2472" s="376"/>
      <c r="R2472" s="376"/>
    </row>
    <row r="2473" spans="15:18">
      <c r="O2473" s="376"/>
      <c r="P2473" s="376"/>
      <c r="Q2473" s="376"/>
      <c r="R2473" s="376"/>
    </row>
    <row r="2474" spans="15:18">
      <c r="O2474" s="376"/>
      <c r="P2474" s="376"/>
      <c r="Q2474" s="376"/>
      <c r="R2474" s="376"/>
    </row>
    <row r="2475" spans="15:18">
      <c r="O2475" s="376"/>
      <c r="P2475" s="376"/>
      <c r="Q2475" s="376"/>
      <c r="R2475" s="376"/>
    </row>
    <row r="2476" spans="15:18">
      <c r="O2476" s="376"/>
      <c r="P2476" s="376"/>
      <c r="Q2476" s="376"/>
      <c r="R2476" s="376"/>
    </row>
    <row r="2477" spans="15:18">
      <c r="O2477" s="376"/>
      <c r="P2477" s="376"/>
      <c r="Q2477" s="376"/>
      <c r="R2477" s="376"/>
    </row>
    <row r="2478" spans="15:18">
      <c r="O2478" s="376"/>
      <c r="P2478" s="376"/>
      <c r="Q2478" s="376"/>
      <c r="R2478" s="376"/>
    </row>
    <row r="2479" spans="15:18">
      <c r="O2479" s="376"/>
      <c r="P2479" s="376"/>
      <c r="Q2479" s="376"/>
      <c r="R2479" s="376"/>
    </row>
    <row r="2480" spans="15:18">
      <c r="O2480" s="376"/>
      <c r="P2480" s="376"/>
      <c r="Q2480" s="376"/>
      <c r="R2480" s="376"/>
    </row>
    <row r="2481" spans="15:18">
      <c r="O2481" s="376"/>
      <c r="P2481" s="376"/>
      <c r="Q2481" s="376"/>
      <c r="R2481" s="376"/>
    </row>
    <row r="2482" spans="15:18">
      <c r="O2482" s="376"/>
      <c r="P2482" s="376"/>
      <c r="Q2482" s="376"/>
      <c r="R2482" s="376"/>
    </row>
    <row r="2483" spans="15:18">
      <c r="O2483" s="376"/>
      <c r="P2483" s="376"/>
      <c r="Q2483" s="376"/>
      <c r="R2483" s="376"/>
    </row>
    <row r="2484" spans="15:18">
      <c r="O2484" s="376"/>
      <c r="P2484" s="376"/>
      <c r="Q2484" s="376"/>
      <c r="R2484" s="376"/>
    </row>
    <row r="2485" spans="15:18">
      <c r="O2485" s="376"/>
      <c r="P2485" s="376"/>
      <c r="Q2485" s="376"/>
      <c r="R2485" s="376"/>
    </row>
    <row r="2486" spans="15:18">
      <c r="O2486" s="376"/>
      <c r="P2486" s="376"/>
      <c r="Q2486" s="376"/>
      <c r="R2486" s="376"/>
    </row>
    <row r="2487" spans="15:18">
      <c r="O2487" s="376"/>
      <c r="P2487" s="376"/>
      <c r="Q2487" s="376"/>
      <c r="R2487" s="376"/>
    </row>
    <row r="2488" spans="15:18">
      <c r="O2488" s="376"/>
      <c r="P2488" s="376"/>
      <c r="Q2488" s="376"/>
      <c r="R2488" s="376"/>
    </row>
    <row r="2489" spans="15:18">
      <c r="O2489" s="376"/>
      <c r="P2489" s="376"/>
      <c r="Q2489" s="376"/>
      <c r="R2489" s="376"/>
    </row>
    <row r="2490" spans="15:18">
      <c r="O2490" s="376"/>
      <c r="P2490" s="376"/>
      <c r="Q2490" s="376"/>
      <c r="R2490" s="376"/>
    </row>
    <row r="2491" spans="15:18">
      <c r="O2491" s="376"/>
      <c r="P2491" s="376"/>
      <c r="Q2491" s="376"/>
      <c r="R2491" s="376"/>
    </row>
    <row r="2492" spans="15:18">
      <c r="O2492" s="376"/>
      <c r="P2492" s="376"/>
      <c r="Q2492" s="376"/>
      <c r="R2492" s="376"/>
    </row>
    <row r="2493" spans="15:18">
      <c r="O2493" s="376"/>
      <c r="P2493" s="376"/>
      <c r="Q2493" s="376"/>
      <c r="R2493" s="376"/>
    </row>
    <row r="2494" spans="15:18">
      <c r="O2494" s="376"/>
      <c r="P2494" s="376"/>
      <c r="Q2494" s="376"/>
      <c r="R2494" s="376"/>
    </row>
    <row r="2495" spans="15:18">
      <c r="O2495" s="376"/>
      <c r="P2495" s="376"/>
      <c r="Q2495" s="376"/>
      <c r="R2495" s="376"/>
    </row>
    <row r="2496" spans="15:18">
      <c r="O2496" s="376"/>
      <c r="P2496" s="376"/>
      <c r="Q2496" s="376"/>
      <c r="R2496" s="376"/>
    </row>
    <row r="2497" spans="15:18">
      <c r="O2497" s="376"/>
      <c r="P2497" s="376"/>
      <c r="Q2497" s="376"/>
      <c r="R2497" s="376"/>
    </row>
    <row r="2498" spans="15:18">
      <c r="O2498" s="376"/>
      <c r="P2498" s="376"/>
      <c r="Q2498" s="376"/>
      <c r="R2498" s="376"/>
    </row>
    <row r="2499" spans="15:18">
      <c r="O2499" s="376"/>
      <c r="P2499" s="376"/>
      <c r="Q2499" s="376"/>
      <c r="R2499" s="376"/>
    </row>
    <row r="2500" spans="15:18">
      <c r="O2500" s="376"/>
      <c r="P2500" s="376"/>
      <c r="Q2500" s="376"/>
      <c r="R2500" s="376"/>
    </row>
    <row r="2501" spans="15:18">
      <c r="O2501" s="376"/>
      <c r="P2501" s="376"/>
      <c r="Q2501" s="376"/>
      <c r="R2501" s="376"/>
    </row>
    <row r="2502" spans="15:18">
      <c r="O2502" s="376"/>
      <c r="P2502" s="376"/>
      <c r="Q2502" s="376"/>
      <c r="R2502" s="376"/>
    </row>
    <row r="2503" spans="15:18">
      <c r="O2503" s="376"/>
      <c r="P2503" s="376"/>
      <c r="Q2503" s="376"/>
      <c r="R2503" s="376"/>
    </row>
    <row r="2504" spans="15:18">
      <c r="O2504" s="376"/>
      <c r="P2504" s="376"/>
      <c r="Q2504" s="376"/>
      <c r="R2504" s="376"/>
    </row>
    <row r="2505" spans="15:18">
      <c r="O2505" s="376"/>
      <c r="P2505" s="376"/>
      <c r="Q2505" s="376"/>
      <c r="R2505" s="376"/>
    </row>
    <row r="2506" spans="15:18">
      <c r="O2506" s="376"/>
      <c r="P2506" s="376"/>
      <c r="Q2506" s="376"/>
      <c r="R2506" s="376"/>
    </row>
    <row r="2507" spans="15:18">
      <c r="O2507" s="376"/>
      <c r="P2507" s="376"/>
      <c r="Q2507" s="376"/>
      <c r="R2507" s="376"/>
    </row>
    <row r="2508" spans="15:18">
      <c r="O2508" s="376"/>
      <c r="P2508" s="376"/>
      <c r="Q2508" s="376"/>
      <c r="R2508" s="376"/>
    </row>
    <row r="2509" spans="15:18">
      <c r="O2509" s="376"/>
      <c r="P2509" s="376"/>
      <c r="Q2509" s="376"/>
      <c r="R2509" s="376"/>
    </row>
    <row r="2510" spans="15:18">
      <c r="O2510" s="376"/>
      <c r="P2510" s="376"/>
      <c r="Q2510" s="376"/>
      <c r="R2510" s="376"/>
    </row>
    <row r="2511" spans="15:18">
      <c r="O2511" s="376"/>
      <c r="P2511" s="376"/>
      <c r="Q2511" s="376"/>
      <c r="R2511" s="376"/>
    </row>
    <row r="2512" spans="15:18">
      <c r="O2512" s="376"/>
      <c r="P2512" s="376"/>
      <c r="Q2512" s="376"/>
      <c r="R2512" s="376"/>
    </row>
    <row r="2513" spans="15:18">
      <c r="O2513" s="376"/>
      <c r="P2513" s="376"/>
      <c r="Q2513" s="376"/>
      <c r="R2513" s="376"/>
    </row>
    <row r="2514" spans="15:18">
      <c r="O2514" s="376"/>
      <c r="P2514" s="376"/>
      <c r="Q2514" s="376"/>
      <c r="R2514" s="376"/>
    </row>
    <row r="2515" spans="15:18">
      <c r="O2515" s="376"/>
      <c r="P2515" s="376"/>
      <c r="Q2515" s="376"/>
      <c r="R2515" s="376"/>
    </row>
    <row r="2516" spans="15:18">
      <c r="O2516" s="376"/>
      <c r="P2516" s="376"/>
      <c r="Q2516" s="376"/>
      <c r="R2516" s="376"/>
    </row>
    <row r="2517" spans="15:18">
      <c r="O2517" s="376"/>
      <c r="P2517" s="376"/>
      <c r="Q2517" s="376"/>
      <c r="R2517" s="376"/>
    </row>
    <row r="2518" spans="15:18">
      <c r="O2518" s="376"/>
      <c r="P2518" s="376"/>
      <c r="Q2518" s="376"/>
      <c r="R2518" s="376"/>
    </row>
    <row r="2519" spans="15:18">
      <c r="O2519" s="376"/>
      <c r="P2519" s="376"/>
      <c r="Q2519" s="376"/>
      <c r="R2519" s="376"/>
    </row>
    <row r="2520" spans="15:18">
      <c r="O2520" s="376"/>
      <c r="P2520" s="376"/>
      <c r="Q2520" s="376"/>
      <c r="R2520" s="376"/>
    </row>
    <row r="2521" spans="15:18">
      <c r="O2521" s="376"/>
      <c r="P2521" s="376"/>
      <c r="Q2521" s="376"/>
      <c r="R2521" s="376"/>
    </row>
    <row r="2522" spans="15:18">
      <c r="O2522" s="376"/>
      <c r="P2522" s="376"/>
      <c r="Q2522" s="376"/>
      <c r="R2522" s="376"/>
    </row>
    <row r="2523" spans="15:18">
      <c r="O2523" s="376"/>
      <c r="P2523" s="376"/>
      <c r="Q2523" s="376"/>
      <c r="R2523" s="376"/>
    </row>
    <row r="2524" spans="15:18">
      <c r="O2524" s="376"/>
      <c r="P2524" s="376"/>
      <c r="Q2524" s="376"/>
      <c r="R2524" s="376"/>
    </row>
    <row r="2525" spans="15:18">
      <c r="O2525" s="376"/>
      <c r="P2525" s="376"/>
      <c r="Q2525" s="376"/>
      <c r="R2525" s="376"/>
    </row>
    <row r="2526" spans="15:18">
      <c r="O2526" s="376"/>
      <c r="P2526" s="376"/>
      <c r="Q2526" s="376"/>
      <c r="R2526" s="376"/>
    </row>
    <row r="2527" spans="15:18">
      <c r="O2527" s="376"/>
      <c r="P2527" s="376"/>
      <c r="Q2527" s="376"/>
      <c r="R2527" s="376"/>
    </row>
    <row r="2528" spans="15:18">
      <c r="O2528" s="376"/>
      <c r="P2528" s="376"/>
      <c r="Q2528" s="376"/>
      <c r="R2528" s="376"/>
    </row>
    <row r="2529" spans="15:18">
      <c r="O2529" s="376"/>
      <c r="P2529" s="376"/>
      <c r="Q2529" s="376"/>
      <c r="R2529" s="376"/>
    </row>
    <row r="2530" spans="15:18">
      <c r="O2530" s="376"/>
      <c r="P2530" s="376"/>
      <c r="Q2530" s="376"/>
      <c r="R2530" s="376"/>
    </row>
    <row r="2531" spans="15:18">
      <c r="O2531" s="376"/>
      <c r="P2531" s="376"/>
      <c r="Q2531" s="376"/>
      <c r="R2531" s="376"/>
    </row>
    <row r="2532" spans="15:18">
      <c r="O2532" s="376"/>
      <c r="P2532" s="376"/>
      <c r="Q2532" s="376"/>
      <c r="R2532" s="376"/>
    </row>
    <row r="2533" spans="15:18">
      <c r="O2533" s="376"/>
      <c r="P2533" s="376"/>
      <c r="Q2533" s="376"/>
      <c r="R2533" s="376"/>
    </row>
    <row r="2534" spans="15:18">
      <c r="O2534" s="376"/>
      <c r="P2534" s="376"/>
      <c r="Q2534" s="376"/>
      <c r="R2534" s="376"/>
    </row>
    <row r="2535" spans="15:18">
      <c r="O2535" s="376"/>
      <c r="P2535" s="376"/>
      <c r="Q2535" s="376"/>
      <c r="R2535" s="376"/>
    </row>
    <row r="2536" spans="15:18">
      <c r="O2536" s="376"/>
      <c r="P2536" s="376"/>
      <c r="Q2536" s="376"/>
      <c r="R2536" s="376"/>
    </row>
    <row r="2537" spans="15:18">
      <c r="O2537" s="376"/>
      <c r="P2537" s="376"/>
      <c r="Q2537" s="376"/>
      <c r="R2537" s="376"/>
    </row>
    <row r="2538" spans="15:18">
      <c r="O2538" s="376"/>
      <c r="P2538" s="376"/>
      <c r="Q2538" s="376"/>
      <c r="R2538" s="376"/>
    </row>
    <row r="2539" spans="15:18">
      <c r="O2539" s="376"/>
      <c r="P2539" s="376"/>
      <c r="Q2539" s="376"/>
      <c r="R2539" s="376"/>
    </row>
    <row r="2540" spans="15:18">
      <c r="O2540" s="376"/>
      <c r="P2540" s="376"/>
      <c r="Q2540" s="376"/>
      <c r="R2540" s="376"/>
    </row>
    <row r="2541" spans="15:18">
      <c r="O2541" s="376"/>
      <c r="P2541" s="376"/>
      <c r="Q2541" s="376"/>
      <c r="R2541" s="376"/>
    </row>
    <row r="2542" spans="15:18">
      <c r="O2542" s="376"/>
      <c r="P2542" s="376"/>
      <c r="Q2542" s="376"/>
      <c r="R2542" s="376"/>
    </row>
    <row r="2543" spans="15:18">
      <c r="O2543" s="376"/>
      <c r="P2543" s="376"/>
      <c r="Q2543" s="376"/>
      <c r="R2543" s="376"/>
    </row>
    <row r="2544" spans="15:18">
      <c r="O2544" s="376"/>
      <c r="P2544" s="376"/>
      <c r="Q2544" s="376"/>
      <c r="R2544" s="376"/>
    </row>
    <row r="2545" spans="15:18">
      <c r="O2545" s="376"/>
      <c r="P2545" s="376"/>
      <c r="Q2545" s="376"/>
      <c r="R2545" s="376"/>
    </row>
    <row r="2546" spans="15:18">
      <c r="O2546" s="376"/>
      <c r="P2546" s="376"/>
      <c r="Q2546" s="376"/>
      <c r="R2546" s="376"/>
    </row>
    <row r="2547" spans="15:18">
      <c r="O2547" s="376"/>
      <c r="P2547" s="376"/>
      <c r="Q2547" s="376"/>
      <c r="R2547" s="376"/>
    </row>
    <row r="2548" spans="15:18">
      <c r="O2548" s="376"/>
      <c r="P2548" s="376"/>
      <c r="Q2548" s="376"/>
      <c r="R2548" s="376"/>
    </row>
    <row r="2549" spans="15:18">
      <c r="O2549" s="376"/>
      <c r="P2549" s="376"/>
      <c r="Q2549" s="376"/>
      <c r="R2549" s="376"/>
    </row>
    <row r="2550" spans="15:18">
      <c r="O2550" s="376"/>
      <c r="P2550" s="376"/>
      <c r="Q2550" s="376"/>
      <c r="R2550" s="376"/>
    </row>
    <row r="2551" spans="15:18">
      <c r="O2551" s="376"/>
      <c r="P2551" s="376"/>
      <c r="Q2551" s="376"/>
      <c r="R2551" s="376"/>
    </row>
    <row r="2552" spans="15:18">
      <c r="O2552" s="376"/>
      <c r="P2552" s="376"/>
      <c r="Q2552" s="376"/>
      <c r="R2552" s="376"/>
    </row>
    <row r="2553" spans="15:18">
      <c r="O2553" s="376"/>
      <c r="P2553" s="376"/>
      <c r="Q2553" s="376"/>
      <c r="R2553" s="376"/>
    </row>
    <row r="2554" spans="15:18">
      <c r="O2554" s="376"/>
      <c r="P2554" s="376"/>
      <c r="Q2554" s="376"/>
      <c r="R2554" s="376"/>
    </row>
    <row r="2555" spans="15:18">
      <c r="O2555" s="376"/>
      <c r="P2555" s="376"/>
      <c r="Q2555" s="376"/>
      <c r="R2555" s="376"/>
    </row>
    <row r="2556" spans="15:18">
      <c r="O2556" s="376"/>
      <c r="P2556" s="376"/>
      <c r="Q2556" s="376"/>
      <c r="R2556" s="376"/>
    </row>
    <row r="2557" spans="15:18">
      <c r="O2557" s="376"/>
      <c r="P2557" s="376"/>
      <c r="Q2557" s="376"/>
      <c r="R2557" s="376"/>
    </row>
    <row r="2558" spans="15:18">
      <c r="O2558" s="376"/>
      <c r="P2558" s="376"/>
      <c r="Q2558" s="376"/>
      <c r="R2558" s="376"/>
    </row>
    <row r="2559" spans="15:18">
      <c r="O2559" s="376"/>
      <c r="P2559" s="376"/>
      <c r="Q2559" s="376"/>
      <c r="R2559" s="376"/>
    </row>
    <row r="2560" spans="15:18">
      <c r="O2560" s="376"/>
      <c r="P2560" s="376"/>
      <c r="Q2560" s="376"/>
      <c r="R2560" s="376"/>
    </row>
    <row r="2561" spans="15:18">
      <c r="O2561" s="376"/>
      <c r="P2561" s="376"/>
      <c r="Q2561" s="376"/>
      <c r="R2561" s="376"/>
    </row>
    <row r="2562" spans="15:18">
      <c r="O2562" s="376"/>
      <c r="P2562" s="376"/>
      <c r="Q2562" s="376"/>
      <c r="R2562" s="376"/>
    </row>
    <row r="2563" spans="15:18">
      <c r="O2563" s="376"/>
      <c r="P2563" s="376"/>
      <c r="Q2563" s="376"/>
      <c r="R2563" s="376"/>
    </row>
    <row r="2564" spans="15:18">
      <c r="O2564" s="376"/>
      <c r="P2564" s="376"/>
      <c r="Q2564" s="376"/>
      <c r="R2564" s="376"/>
    </row>
    <row r="2565" spans="15:18">
      <c r="O2565" s="376"/>
      <c r="P2565" s="376"/>
      <c r="Q2565" s="376"/>
      <c r="R2565" s="376"/>
    </row>
    <row r="2566" spans="15:18">
      <c r="O2566" s="376"/>
      <c r="P2566" s="376"/>
      <c r="Q2566" s="376"/>
      <c r="R2566" s="376"/>
    </row>
    <row r="2567" spans="15:18">
      <c r="O2567" s="376"/>
      <c r="P2567" s="376"/>
      <c r="Q2567" s="376"/>
      <c r="R2567" s="376"/>
    </row>
    <row r="2568" spans="15:18">
      <c r="O2568" s="376"/>
      <c r="P2568" s="376"/>
      <c r="Q2568" s="376"/>
      <c r="R2568" s="376"/>
    </row>
    <row r="2569" spans="15:18">
      <c r="O2569" s="376"/>
      <c r="P2569" s="376"/>
      <c r="Q2569" s="376"/>
      <c r="R2569" s="376"/>
    </row>
    <row r="2570" spans="15:18">
      <c r="O2570" s="376"/>
      <c r="P2570" s="376"/>
      <c r="Q2570" s="376"/>
      <c r="R2570" s="376"/>
    </row>
    <row r="2571" spans="15:18">
      <c r="O2571" s="376"/>
      <c r="P2571" s="376"/>
      <c r="Q2571" s="376"/>
      <c r="R2571" s="376"/>
    </row>
    <row r="2572" spans="15:18">
      <c r="O2572" s="376"/>
      <c r="P2572" s="376"/>
      <c r="Q2572" s="376"/>
      <c r="R2572" s="376"/>
    </row>
    <row r="2573" spans="15:18">
      <c r="O2573" s="376"/>
      <c r="P2573" s="376"/>
      <c r="Q2573" s="376"/>
      <c r="R2573" s="376"/>
    </row>
    <row r="2574" spans="15:18">
      <c r="O2574" s="376"/>
      <c r="P2574" s="376"/>
      <c r="Q2574" s="376"/>
      <c r="R2574" s="376"/>
    </row>
    <row r="2575" spans="15:18">
      <c r="O2575" s="376"/>
      <c r="P2575" s="376"/>
      <c r="Q2575" s="376"/>
      <c r="R2575" s="376"/>
    </row>
    <row r="2576" spans="15:18">
      <c r="O2576" s="376"/>
      <c r="P2576" s="376"/>
      <c r="Q2576" s="376"/>
      <c r="R2576" s="376"/>
    </row>
    <row r="2577" spans="15:18">
      <c r="O2577" s="376"/>
      <c r="P2577" s="376"/>
      <c r="Q2577" s="376"/>
      <c r="R2577" s="376"/>
    </row>
    <row r="2578" spans="15:18">
      <c r="O2578" s="376"/>
      <c r="P2578" s="376"/>
      <c r="Q2578" s="376"/>
      <c r="R2578" s="376"/>
    </row>
    <row r="2579" spans="15:18">
      <c r="O2579" s="376"/>
      <c r="P2579" s="376"/>
      <c r="Q2579" s="376"/>
      <c r="R2579" s="376"/>
    </row>
    <row r="2580" spans="15:18">
      <c r="O2580" s="376"/>
      <c r="P2580" s="376"/>
      <c r="Q2580" s="376"/>
      <c r="R2580" s="376"/>
    </row>
    <row r="2581" spans="15:18">
      <c r="O2581" s="376"/>
      <c r="P2581" s="376"/>
      <c r="Q2581" s="376"/>
      <c r="R2581" s="376"/>
    </row>
    <row r="2582" spans="15:18">
      <c r="O2582" s="376"/>
      <c r="P2582" s="376"/>
      <c r="Q2582" s="376"/>
      <c r="R2582" s="376"/>
    </row>
    <row r="2583" spans="15:18">
      <c r="O2583" s="376"/>
      <c r="P2583" s="376"/>
      <c r="Q2583" s="376"/>
      <c r="R2583" s="376"/>
    </row>
    <row r="2584" spans="15:18">
      <c r="O2584" s="376"/>
      <c r="P2584" s="376"/>
      <c r="Q2584" s="376"/>
      <c r="R2584" s="376"/>
    </row>
    <row r="2585" spans="15:18">
      <c r="O2585" s="376"/>
      <c r="P2585" s="376"/>
      <c r="Q2585" s="376"/>
      <c r="R2585" s="376"/>
    </row>
    <row r="2586" spans="15:18">
      <c r="O2586" s="376"/>
      <c r="P2586" s="376"/>
      <c r="Q2586" s="376"/>
      <c r="R2586" s="376"/>
    </row>
    <row r="2587" spans="15:18">
      <c r="O2587" s="376"/>
      <c r="P2587" s="376"/>
      <c r="Q2587" s="376"/>
      <c r="R2587" s="376"/>
    </row>
    <row r="2588" spans="15:18">
      <c r="O2588" s="376"/>
      <c r="P2588" s="376"/>
      <c r="Q2588" s="376"/>
      <c r="R2588" s="376"/>
    </row>
    <row r="2589" spans="15:18">
      <c r="O2589" s="376"/>
      <c r="P2589" s="376"/>
      <c r="Q2589" s="376"/>
      <c r="R2589" s="376"/>
    </row>
    <row r="2590" spans="15:18">
      <c r="O2590" s="376"/>
      <c r="P2590" s="376"/>
      <c r="Q2590" s="376"/>
      <c r="R2590" s="376"/>
    </row>
    <row r="2591" spans="15:18">
      <c r="O2591" s="376"/>
      <c r="P2591" s="376"/>
      <c r="Q2591" s="376"/>
      <c r="R2591" s="376"/>
    </row>
    <row r="2592" spans="15:18">
      <c r="O2592" s="376"/>
      <c r="P2592" s="376"/>
      <c r="Q2592" s="376"/>
      <c r="R2592" s="376"/>
    </row>
    <row r="2593" spans="15:18">
      <c r="O2593" s="376"/>
      <c r="P2593" s="376"/>
      <c r="Q2593" s="376"/>
      <c r="R2593" s="376"/>
    </row>
    <row r="2594" spans="15:18">
      <c r="O2594" s="376"/>
      <c r="P2594" s="376"/>
      <c r="Q2594" s="376"/>
      <c r="R2594" s="376"/>
    </row>
    <row r="2595" spans="15:18">
      <c r="O2595" s="376"/>
      <c r="P2595" s="376"/>
      <c r="Q2595" s="376"/>
      <c r="R2595" s="376"/>
    </row>
    <row r="2596" spans="15:18">
      <c r="O2596" s="376"/>
      <c r="P2596" s="376"/>
      <c r="Q2596" s="376"/>
      <c r="R2596" s="376"/>
    </row>
    <row r="2597" spans="15:18">
      <c r="O2597" s="376"/>
      <c r="P2597" s="376"/>
      <c r="Q2597" s="376"/>
      <c r="R2597" s="376"/>
    </row>
    <row r="2598" spans="15:18">
      <c r="O2598" s="376"/>
      <c r="P2598" s="376"/>
      <c r="Q2598" s="376"/>
      <c r="R2598" s="376"/>
    </row>
    <row r="2599" spans="15:18">
      <c r="O2599" s="376"/>
      <c r="P2599" s="376"/>
      <c r="Q2599" s="376"/>
      <c r="R2599" s="376"/>
    </row>
    <row r="2600" spans="15:18">
      <c r="O2600" s="376"/>
      <c r="P2600" s="376"/>
      <c r="Q2600" s="376"/>
      <c r="R2600" s="376"/>
    </row>
    <row r="2601" spans="15:18">
      <c r="O2601" s="376"/>
      <c r="P2601" s="376"/>
      <c r="Q2601" s="376"/>
      <c r="R2601" s="376"/>
    </row>
    <row r="2602" spans="15:18">
      <c r="O2602" s="376"/>
      <c r="P2602" s="376"/>
      <c r="Q2602" s="376"/>
      <c r="R2602" s="376"/>
    </row>
    <row r="2603" spans="15:18">
      <c r="O2603" s="376"/>
      <c r="P2603" s="376"/>
      <c r="Q2603" s="376"/>
      <c r="R2603" s="376"/>
    </row>
    <row r="2604" spans="15:18">
      <c r="O2604" s="376"/>
      <c r="P2604" s="376"/>
      <c r="Q2604" s="376"/>
      <c r="R2604" s="376"/>
    </row>
    <row r="2605" spans="15:18">
      <c r="O2605" s="376"/>
      <c r="P2605" s="376"/>
      <c r="Q2605" s="376"/>
      <c r="R2605" s="376"/>
    </row>
    <row r="2606" spans="15:18">
      <c r="O2606" s="376"/>
      <c r="P2606" s="376"/>
      <c r="Q2606" s="376"/>
      <c r="R2606" s="376"/>
    </row>
    <row r="2607" spans="15:18">
      <c r="O2607" s="376"/>
      <c r="P2607" s="376"/>
      <c r="Q2607" s="376"/>
      <c r="R2607" s="376"/>
    </row>
    <row r="2608" spans="15:18">
      <c r="O2608" s="376"/>
      <c r="P2608" s="376"/>
      <c r="Q2608" s="376"/>
      <c r="R2608" s="376"/>
    </row>
    <row r="2609" spans="15:18">
      <c r="O2609" s="376"/>
      <c r="P2609" s="376"/>
      <c r="Q2609" s="376"/>
      <c r="R2609" s="376"/>
    </row>
    <row r="2610" spans="15:18">
      <c r="O2610" s="376"/>
      <c r="P2610" s="376"/>
      <c r="Q2610" s="376"/>
      <c r="R2610" s="376"/>
    </row>
    <row r="2611" spans="15:18">
      <c r="O2611" s="376"/>
      <c r="P2611" s="376"/>
      <c r="Q2611" s="376"/>
      <c r="R2611" s="376"/>
    </row>
    <row r="2612" spans="15:18">
      <c r="O2612" s="376"/>
      <c r="P2612" s="376"/>
      <c r="Q2612" s="376"/>
      <c r="R2612" s="376"/>
    </row>
    <row r="2613" spans="15:18">
      <c r="O2613" s="376"/>
      <c r="P2613" s="376"/>
      <c r="Q2613" s="376"/>
      <c r="R2613" s="376"/>
    </row>
    <row r="2614" spans="15:18">
      <c r="O2614" s="376"/>
      <c r="P2614" s="376"/>
      <c r="Q2614" s="376"/>
      <c r="R2614" s="376"/>
    </row>
    <row r="2615" spans="15:18">
      <c r="O2615" s="376"/>
      <c r="P2615" s="376"/>
      <c r="Q2615" s="376"/>
      <c r="R2615" s="376"/>
    </row>
    <row r="2616" spans="15:18">
      <c r="O2616" s="376"/>
      <c r="P2616" s="376"/>
      <c r="Q2616" s="376"/>
      <c r="R2616" s="376"/>
    </row>
    <row r="2617" spans="15:18">
      <c r="O2617" s="376"/>
      <c r="P2617" s="376"/>
      <c r="Q2617" s="376"/>
      <c r="R2617" s="376"/>
    </row>
    <row r="2618" spans="15:18">
      <c r="O2618" s="376"/>
      <c r="P2618" s="376"/>
      <c r="Q2618" s="376"/>
      <c r="R2618" s="376"/>
    </row>
    <row r="2619" spans="15:18">
      <c r="O2619" s="376"/>
      <c r="P2619" s="376"/>
      <c r="Q2619" s="376"/>
      <c r="R2619" s="376"/>
    </row>
    <row r="2620" spans="15:18">
      <c r="O2620" s="376"/>
      <c r="P2620" s="376"/>
      <c r="Q2620" s="376"/>
      <c r="R2620" s="376"/>
    </row>
    <row r="2621" spans="15:18">
      <c r="O2621" s="376"/>
      <c r="P2621" s="376"/>
      <c r="Q2621" s="376"/>
      <c r="R2621" s="376"/>
    </row>
    <row r="2622" spans="15:18">
      <c r="O2622" s="376"/>
      <c r="P2622" s="376"/>
      <c r="Q2622" s="376"/>
      <c r="R2622" s="376"/>
    </row>
    <row r="2623" spans="15:18">
      <c r="O2623" s="376"/>
      <c r="P2623" s="376"/>
      <c r="Q2623" s="376"/>
      <c r="R2623" s="376"/>
    </row>
    <row r="2624" spans="15:18">
      <c r="O2624" s="376"/>
      <c r="P2624" s="376"/>
      <c r="Q2624" s="376"/>
      <c r="R2624" s="376"/>
    </row>
    <row r="2625" spans="15:18">
      <c r="O2625" s="376"/>
      <c r="P2625" s="376"/>
      <c r="Q2625" s="376"/>
      <c r="R2625" s="376"/>
    </row>
    <row r="2626" spans="15:18">
      <c r="O2626" s="376"/>
      <c r="P2626" s="376"/>
      <c r="Q2626" s="376"/>
      <c r="R2626" s="376"/>
    </row>
    <row r="2627" spans="15:18">
      <c r="O2627" s="376"/>
      <c r="P2627" s="376"/>
      <c r="Q2627" s="376"/>
      <c r="R2627" s="376"/>
    </row>
    <row r="2628" spans="15:18">
      <c r="O2628" s="376"/>
      <c r="P2628" s="376"/>
      <c r="Q2628" s="376"/>
      <c r="R2628" s="376"/>
    </row>
    <row r="2629" spans="15:18">
      <c r="O2629" s="376"/>
      <c r="P2629" s="376"/>
      <c r="Q2629" s="376"/>
      <c r="R2629" s="376"/>
    </row>
    <row r="2630" spans="15:18">
      <c r="O2630" s="376"/>
      <c r="P2630" s="376"/>
      <c r="Q2630" s="376"/>
      <c r="R2630" s="376"/>
    </row>
    <row r="2631" spans="15:18">
      <c r="O2631" s="376"/>
      <c r="P2631" s="376"/>
      <c r="Q2631" s="376"/>
      <c r="R2631" s="376"/>
    </row>
    <row r="2632" spans="15:18">
      <c r="O2632" s="376"/>
      <c r="P2632" s="376"/>
      <c r="Q2632" s="376"/>
      <c r="R2632" s="376"/>
    </row>
    <row r="2633" spans="15:18">
      <c r="O2633" s="376"/>
      <c r="P2633" s="376"/>
      <c r="Q2633" s="376"/>
      <c r="R2633" s="376"/>
    </row>
    <row r="2634" spans="15:18">
      <c r="O2634" s="376"/>
      <c r="P2634" s="376"/>
      <c r="Q2634" s="376"/>
      <c r="R2634" s="376"/>
    </row>
    <row r="2635" spans="15:18">
      <c r="O2635" s="376"/>
      <c r="P2635" s="376"/>
      <c r="Q2635" s="376"/>
      <c r="R2635" s="376"/>
    </row>
    <row r="2636" spans="15:18">
      <c r="O2636" s="376"/>
      <c r="P2636" s="376"/>
      <c r="Q2636" s="376"/>
      <c r="R2636" s="376"/>
    </row>
    <row r="2637" spans="15:18">
      <c r="O2637" s="376"/>
      <c r="P2637" s="376"/>
      <c r="Q2637" s="376"/>
      <c r="R2637" s="376"/>
    </row>
    <row r="2638" spans="15:18">
      <c r="O2638" s="376"/>
      <c r="P2638" s="376"/>
      <c r="Q2638" s="376"/>
      <c r="R2638" s="376"/>
    </row>
    <row r="2639" spans="15:18">
      <c r="O2639" s="376"/>
      <c r="P2639" s="376"/>
      <c r="Q2639" s="376"/>
      <c r="R2639" s="376"/>
    </row>
    <row r="2640" spans="15:18">
      <c r="O2640" s="376"/>
      <c r="P2640" s="376"/>
      <c r="Q2640" s="376"/>
      <c r="R2640" s="376"/>
    </row>
    <row r="2641" spans="15:18">
      <c r="O2641" s="376"/>
      <c r="P2641" s="376"/>
      <c r="Q2641" s="376"/>
      <c r="R2641" s="376"/>
    </row>
    <row r="2642" spans="15:18">
      <c r="O2642" s="376"/>
      <c r="P2642" s="376"/>
      <c r="Q2642" s="376"/>
      <c r="R2642" s="376"/>
    </row>
    <row r="2643" spans="15:18">
      <c r="O2643" s="376"/>
      <c r="P2643" s="376"/>
      <c r="Q2643" s="376"/>
      <c r="R2643" s="376"/>
    </row>
    <row r="2644" spans="15:18">
      <c r="O2644" s="376"/>
      <c r="P2644" s="376"/>
      <c r="Q2644" s="376"/>
      <c r="R2644" s="376"/>
    </row>
    <row r="2645" spans="15:18">
      <c r="O2645" s="376"/>
      <c r="P2645" s="376"/>
      <c r="Q2645" s="376"/>
      <c r="R2645" s="376"/>
    </row>
    <row r="2646" spans="15:18">
      <c r="O2646" s="376"/>
      <c r="P2646" s="376"/>
      <c r="Q2646" s="376"/>
      <c r="R2646" s="376"/>
    </row>
    <row r="2647" spans="15:18">
      <c r="O2647" s="376"/>
      <c r="P2647" s="376"/>
      <c r="Q2647" s="376"/>
      <c r="R2647" s="376"/>
    </row>
    <row r="2648" spans="15:18">
      <c r="O2648" s="376"/>
      <c r="P2648" s="376"/>
      <c r="Q2648" s="376"/>
      <c r="R2648" s="376"/>
    </row>
    <row r="2649" spans="15:18">
      <c r="O2649" s="376"/>
      <c r="P2649" s="376"/>
      <c r="Q2649" s="376"/>
      <c r="R2649" s="376"/>
    </row>
    <row r="2650" spans="15:18">
      <c r="O2650" s="376"/>
      <c r="P2650" s="376"/>
      <c r="Q2650" s="376"/>
      <c r="R2650" s="376"/>
    </row>
    <row r="2651" spans="15:18">
      <c r="O2651" s="376"/>
      <c r="P2651" s="376"/>
      <c r="Q2651" s="376"/>
      <c r="R2651" s="376"/>
    </row>
    <row r="2652" spans="15:18">
      <c r="O2652" s="376"/>
      <c r="P2652" s="376"/>
      <c r="Q2652" s="376"/>
      <c r="R2652" s="376"/>
    </row>
    <row r="2653" spans="15:18">
      <c r="O2653" s="376"/>
      <c r="P2653" s="376"/>
      <c r="Q2653" s="376"/>
      <c r="R2653" s="376"/>
    </row>
    <row r="2654" spans="15:18">
      <c r="O2654" s="376"/>
      <c r="P2654" s="376"/>
      <c r="Q2654" s="376"/>
      <c r="R2654" s="376"/>
    </row>
    <row r="2655" spans="15:18">
      <c r="O2655" s="376"/>
      <c r="P2655" s="376"/>
      <c r="Q2655" s="376"/>
      <c r="R2655" s="376"/>
    </row>
    <row r="2656" spans="15:18">
      <c r="O2656" s="376"/>
      <c r="P2656" s="376"/>
      <c r="Q2656" s="376"/>
      <c r="R2656" s="376"/>
    </row>
    <row r="2657" spans="15:18">
      <c r="O2657" s="376"/>
      <c r="P2657" s="376"/>
      <c r="Q2657" s="376"/>
      <c r="R2657" s="376"/>
    </row>
    <row r="2658" spans="15:18">
      <c r="O2658" s="376"/>
      <c r="P2658" s="376"/>
      <c r="Q2658" s="376"/>
      <c r="R2658" s="376"/>
    </row>
    <row r="2659" spans="15:18">
      <c r="O2659" s="376"/>
      <c r="P2659" s="376"/>
      <c r="Q2659" s="376"/>
      <c r="R2659" s="376"/>
    </row>
    <row r="2660" spans="15:18">
      <c r="O2660" s="376"/>
      <c r="P2660" s="376"/>
      <c r="Q2660" s="376"/>
      <c r="R2660" s="376"/>
    </row>
    <row r="2661" spans="15:18">
      <c r="O2661" s="376"/>
      <c r="P2661" s="376"/>
      <c r="Q2661" s="376"/>
      <c r="R2661" s="376"/>
    </row>
    <row r="2662" spans="15:18">
      <c r="O2662" s="376"/>
      <c r="P2662" s="376"/>
      <c r="Q2662" s="376"/>
      <c r="R2662" s="376"/>
    </row>
    <row r="2663" spans="15:18">
      <c r="O2663" s="376"/>
      <c r="P2663" s="376"/>
      <c r="Q2663" s="376"/>
      <c r="R2663" s="376"/>
    </row>
    <row r="2664" spans="15:18">
      <c r="O2664" s="376"/>
      <c r="P2664" s="376"/>
      <c r="Q2664" s="376"/>
      <c r="R2664" s="376"/>
    </row>
    <row r="2665" spans="15:18">
      <c r="O2665" s="376"/>
      <c r="P2665" s="376"/>
      <c r="Q2665" s="376"/>
      <c r="R2665" s="376"/>
    </row>
    <row r="2666" spans="15:18">
      <c r="O2666" s="376"/>
      <c r="P2666" s="376"/>
      <c r="Q2666" s="376"/>
      <c r="R2666" s="376"/>
    </row>
    <row r="2667" spans="15:18">
      <c r="O2667" s="376"/>
      <c r="P2667" s="376"/>
      <c r="Q2667" s="376"/>
      <c r="R2667" s="376"/>
    </row>
    <row r="2668" spans="15:18">
      <c r="O2668" s="376"/>
      <c r="P2668" s="376"/>
      <c r="Q2668" s="376"/>
      <c r="R2668" s="376"/>
    </row>
    <row r="2669" spans="15:18">
      <c r="O2669" s="376"/>
      <c r="P2669" s="376"/>
      <c r="Q2669" s="376"/>
      <c r="R2669" s="376"/>
    </row>
    <row r="2670" spans="15:18">
      <c r="O2670" s="376"/>
      <c r="P2670" s="376"/>
      <c r="Q2670" s="376"/>
      <c r="R2670" s="376"/>
    </row>
    <row r="2671" spans="15:18">
      <c r="O2671" s="376"/>
      <c r="P2671" s="376"/>
      <c r="Q2671" s="376"/>
      <c r="R2671" s="376"/>
    </row>
    <row r="2672" spans="15:18">
      <c r="O2672" s="376"/>
      <c r="P2672" s="376"/>
      <c r="Q2672" s="376"/>
      <c r="R2672" s="376"/>
    </row>
    <row r="2673" spans="15:18">
      <c r="O2673" s="376"/>
      <c r="P2673" s="376"/>
      <c r="Q2673" s="376"/>
      <c r="R2673" s="376"/>
    </row>
    <row r="2674" spans="15:18">
      <c r="O2674" s="376"/>
      <c r="P2674" s="376"/>
      <c r="Q2674" s="376"/>
      <c r="R2674" s="376"/>
    </row>
    <row r="2675" spans="15:18">
      <c r="O2675" s="376"/>
      <c r="P2675" s="376"/>
      <c r="Q2675" s="376"/>
      <c r="R2675" s="376"/>
    </row>
    <row r="2676" spans="15:18">
      <c r="O2676" s="376"/>
      <c r="P2676" s="376"/>
      <c r="Q2676" s="376"/>
      <c r="R2676" s="376"/>
    </row>
    <row r="2677" spans="15:18">
      <c r="O2677" s="376"/>
      <c r="P2677" s="376"/>
      <c r="Q2677" s="376"/>
      <c r="R2677" s="376"/>
    </row>
    <row r="2678" spans="15:18">
      <c r="O2678" s="376"/>
      <c r="P2678" s="376"/>
      <c r="Q2678" s="376"/>
      <c r="R2678" s="376"/>
    </row>
    <row r="2679" spans="15:18">
      <c r="O2679" s="376"/>
      <c r="P2679" s="376"/>
      <c r="Q2679" s="376"/>
      <c r="R2679" s="376"/>
    </row>
    <row r="2680" spans="15:18">
      <c r="O2680" s="376"/>
      <c r="P2680" s="376"/>
      <c r="Q2680" s="376"/>
      <c r="R2680" s="376"/>
    </row>
    <row r="2681" spans="15:18">
      <c r="O2681" s="376"/>
      <c r="P2681" s="376"/>
      <c r="Q2681" s="376"/>
      <c r="R2681" s="376"/>
    </row>
    <row r="2682" spans="15:18">
      <c r="O2682" s="376"/>
      <c r="P2682" s="376"/>
      <c r="Q2682" s="376"/>
      <c r="R2682" s="376"/>
    </row>
    <row r="2683" spans="15:18">
      <c r="O2683" s="376"/>
      <c r="P2683" s="376"/>
      <c r="Q2683" s="376"/>
      <c r="R2683" s="376"/>
    </row>
    <row r="2684" spans="15:18">
      <c r="O2684" s="376"/>
      <c r="P2684" s="376"/>
      <c r="Q2684" s="376"/>
      <c r="R2684" s="376"/>
    </row>
    <row r="2685" spans="15:18">
      <c r="O2685" s="376"/>
      <c r="P2685" s="376"/>
      <c r="Q2685" s="376"/>
      <c r="R2685" s="376"/>
    </row>
    <row r="2686" spans="15:18">
      <c r="O2686" s="376"/>
      <c r="P2686" s="376"/>
      <c r="Q2686" s="376"/>
      <c r="R2686" s="376"/>
    </row>
    <row r="2687" spans="15:18">
      <c r="O2687" s="376"/>
      <c r="P2687" s="376"/>
      <c r="Q2687" s="376"/>
      <c r="R2687" s="376"/>
    </row>
    <row r="2688" spans="15:18">
      <c r="O2688" s="376"/>
      <c r="P2688" s="376"/>
      <c r="Q2688" s="376"/>
      <c r="R2688" s="376"/>
    </row>
    <row r="2689" spans="15:18">
      <c r="O2689" s="376"/>
      <c r="P2689" s="376"/>
      <c r="Q2689" s="376"/>
      <c r="R2689" s="376"/>
    </row>
    <row r="2690" spans="15:18">
      <c r="O2690" s="376"/>
      <c r="P2690" s="376"/>
      <c r="Q2690" s="376"/>
      <c r="R2690" s="376"/>
    </row>
    <row r="2691" spans="15:18">
      <c r="O2691" s="376"/>
      <c r="P2691" s="376"/>
      <c r="Q2691" s="376"/>
      <c r="R2691" s="376"/>
    </row>
    <row r="2692" spans="15:18">
      <c r="O2692" s="376"/>
      <c r="P2692" s="376"/>
      <c r="Q2692" s="376"/>
      <c r="R2692" s="376"/>
    </row>
    <row r="2693" spans="15:18">
      <c r="O2693" s="376"/>
      <c r="P2693" s="376"/>
      <c r="Q2693" s="376"/>
      <c r="R2693" s="376"/>
    </row>
    <row r="2694" spans="15:18">
      <c r="O2694" s="376"/>
      <c r="P2694" s="376"/>
      <c r="Q2694" s="376"/>
      <c r="R2694" s="376"/>
    </row>
    <row r="2695" spans="15:18">
      <c r="O2695" s="376"/>
      <c r="P2695" s="376"/>
      <c r="Q2695" s="376"/>
      <c r="R2695" s="376"/>
    </row>
    <row r="2696" spans="15:18">
      <c r="O2696" s="376"/>
      <c r="P2696" s="376"/>
      <c r="Q2696" s="376"/>
      <c r="R2696" s="376"/>
    </row>
    <row r="2697" spans="15:18">
      <c r="O2697" s="376"/>
      <c r="P2697" s="376"/>
      <c r="Q2697" s="376"/>
      <c r="R2697" s="376"/>
    </row>
    <row r="2698" spans="15:18">
      <c r="O2698" s="376"/>
      <c r="P2698" s="376"/>
      <c r="Q2698" s="376"/>
      <c r="R2698" s="376"/>
    </row>
    <row r="2699" spans="15:18">
      <c r="O2699" s="376"/>
      <c r="P2699" s="376"/>
      <c r="Q2699" s="376"/>
      <c r="R2699" s="376"/>
    </row>
    <row r="2700" spans="15:18">
      <c r="O2700" s="376"/>
      <c r="P2700" s="376"/>
      <c r="Q2700" s="376"/>
      <c r="R2700" s="376"/>
    </row>
    <row r="2701" spans="15:18">
      <c r="O2701" s="376"/>
      <c r="P2701" s="376"/>
      <c r="Q2701" s="376"/>
      <c r="R2701" s="376"/>
    </row>
    <row r="2702" spans="15:18">
      <c r="O2702" s="376"/>
      <c r="P2702" s="376"/>
      <c r="Q2702" s="376"/>
      <c r="R2702" s="376"/>
    </row>
    <row r="2703" spans="15:18">
      <c r="O2703" s="376"/>
      <c r="P2703" s="376"/>
      <c r="Q2703" s="376"/>
      <c r="R2703" s="376"/>
    </row>
    <row r="2704" spans="15:18">
      <c r="O2704" s="376"/>
      <c r="P2704" s="376"/>
      <c r="Q2704" s="376"/>
      <c r="R2704" s="376"/>
    </row>
    <row r="2705" spans="15:18">
      <c r="O2705" s="376"/>
      <c r="P2705" s="376"/>
      <c r="Q2705" s="376"/>
      <c r="R2705" s="376"/>
    </row>
    <row r="2706" spans="15:18">
      <c r="O2706" s="376"/>
      <c r="P2706" s="376"/>
      <c r="Q2706" s="376"/>
      <c r="R2706" s="376"/>
    </row>
    <row r="2707" spans="15:18">
      <c r="O2707" s="376"/>
      <c r="P2707" s="376"/>
      <c r="Q2707" s="376"/>
      <c r="R2707" s="376"/>
    </row>
    <row r="2708" spans="15:18">
      <c r="O2708" s="376"/>
      <c r="P2708" s="376"/>
      <c r="Q2708" s="376"/>
      <c r="R2708" s="376"/>
    </row>
    <row r="2709" spans="15:18">
      <c r="O2709" s="376"/>
      <c r="P2709" s="376"/>
      <c r="Q2709" s="376"/>
      <c r="R2709" s="376"/>
    </row>
    <row r="2710" spans="15:18">
      <c r="O2710" s="376"/>
      <c r="P2710" s="376"/>
      <c r="Q2710" s="376"/>
      <c r="R2710" s="376"/>
    </row>
    <row r="2711" spans="15:18">
      <c r="O2711" s="376"/>
      <c r="P2711" s="376"/>
      <c r="Q2711" s="376"/>
      <c r="R2711" s="376"/>
    </row>
    <row r="2712" spans="15:18">
      <c r="O2712" s="376"/>
      <c r="P2712" s="376"/>
      <c r="Q2712" s="376"/>
      <c r="R2712" s="376"/>
    </row>
    <row r="2713" spans="15:18">
      <c r="O2713" s="376"/>
      <c r="P2713" s="376"/>
      <c r="Q2713" s="376"/>
      <c r="R2713" s="376"/>
    </row>
    <row r="2714" spans="15:18">
      <c r="O2714" s="376"/>
      <c r="P2714" s="376"/>
      <c r="Q2714" s="376"/>
      <c r="R2714" s="376"/>
    </row>
    <row r="2715" spans="15:18">
      <c r="O2715" s="376"/>
      <c r="P2715" s="376"/>
      <c r="Q2715" s="376"/>
      <c r="R2715" s="376"/>
    </row>
    <row r="2716" spans="15:18">
      <c r="O2716" s="376"/>
      <c r="P2716" s="376"/>
      <c r="Q2716" s="376"/>
      <c r="R2716" s="376"/>
    </row>
    <row r="2717" spans="15:18">
      <c r="O2717" s="376"/>
      <c r="P2717" s="376"/>
      <c r="Q2717" s="376"/>
      <c r="R2717" s="376"/>
    </row>
    <row r="2718" spans="15:18">
      <c r="O2718" s="376"/>
      <c r="P2718" s="376"/>
      <c r="Q2718" s="376"/>
      <c r="R2718" s="376"/>
    </row>
    <row r="2719" spans="15:18">
      <c r="O2719" s="376"/>
      <c r="P2719" s="376"/>
      <c r="Q2719" s="376"/>
      <c r="R2719" s="376"/>
    </row>
    <row r="2720" spans="15:18">
      <c r="O2720" s="376"/>
      <c r="P2720" s="376"/>
      <c r="Q2720" s="376"/>
      <c r="R2720" s="376"/>
    </row>
    <row r="2721" spans="15:18">
      <c r="O2721" s="376"/>
      <c r="P2721" s="376"/>
      <c r="Q2721" s="376"/>
      <c r="R2721" s="376"/>
    </row>
    <row r="2722" spans="15:18">
      <c r="O2722" s="376"/>
      <c r="P2722" s="376"/>
      <c r="Q2722" s="376"/>
      <c r="R2722" s="376"/>
    </row>
    <row r="2723" spans="15:18">
      <c r="O2723" s="376"/>
      <c r="P2723" s="376"/>
      <c r="Q2723" s="376"/>
      <c r="R2723" s="376"/>
    </row>
    <row r="2724" spans="15:18">
      <c r="O2724" s="376"/>
      <c r="P2724" s="376"/>
      <c r="Q2724" s="376"/>
      <c r="R2724" s="376"/>
    </row>
    <row r="2725" spans="15:18">
      <c r="O2725" s="376"/>
      <c r="P2725" s="376"/>
      <c r="Q2725" s="376"/>
      <c r="R2725" s="376"/>
    </row>
    <row r="2726" spans="15:18">
      <c r="O2726" s="376"/>
      <c r="P2726" s="376"/>
      <c r="Q2726" s="376"/>
      <c r="R2726" s="376"/>
    </row>
    <row r="2727" spans="15:18">
      <c r="O2727" s="376"/>
      <c r="P2727" s="376"/>
      <c r="Q2727" s="376"/>
      <c r="R2727" s="376"/>
    </row>
    <row r="2728" spans="15:18">
      <c r="O2728" s="376"/>
      <c r="P2728" s="376"/>
      <c r="Q2728" s="376"/>
      <c r="R2728" s="376"/>
    </row>
    <row r="2729" spans="15:18">
      <c r="O2729" s="376"/>
      <c r="P2729" s="376"/>
      <c r="Q2729" s="376"/>
      <c r="R2729" s="376"/>
    </row>
    <row r="2730" spans="15:18">
      <c r="O2730" s="376"/>
      <c r="P2730" s="376"/>
      <c r="Q2730" s="376"/>
      <c r="R2730" s="376"/>
    </row>
    <row r="2731" spans="15:18">
      <c r="O2731" s="376"/>
      <c r="P2731" s="376"/>
      <c r="Q2731" s="376"/>
      <c r="R2731" s="376"/>
    </row>
    <row r="2732" spans="15:18">
      <c r="O2732" s="376"/>
      <c r="P2732" s="376"/>
      <c r="Q2732" s="376"/>
      <c r="R2732" s="376"/>
    </row>
    <row r="2733" spans="15:18">
      <c r="O2733" s="376"/>
      <c r="P2733" s="376"/>
      <c r="Q2733" s="376"/>
      <c r="R2733" s="376"/>
    </row>
    <row r="2734" spans="15:18">
      <c r="O2734" s="376"/>
      <c r="P2734" s="376"/>
      <c r="Q2734" s="376"/>
      <c r="R2734" s="376"/>
    </row>
    <row r="2735" spans="15:18">
      <c r="O2735" s="376"/>
      <c r="P2735" s="376"/>
      <c r="Q2735" s="376"/>
      <c r="R2735" s="376"/>
    </row>
    <row r="2736" spans="15:18">
      <c r="O2736" s="376"/>
      <c r="P2736" s="376"/>
      <c r="Q2736" s="376"/>
      <c r="R2736" s="376"/>
    </row>
    <row r="2737" spans="15:18">
      <c r="O2737" s="376"/>
      <c r="P2737" s="376"/>
      <c r="Q2737" s="376"/>
      <c r="R2737" s="376"/>
    </row>
    <row r="2738" spans="15:18">
      <c r="O2738" s="376"/>
      <c r="P2738" s="376"/>
      <c r="Q2738" s="376"/>
      <c r="R2738" s="376"/>
    </row>
    <row r="2739" spans="15:18">
      <c r="O2739" s="376"/>
      <c r="P2739" s="376"/>
      <c r="Q2739" s="376"/>
      <c r="R2739" s="376"/>
    </row>
    <row r="2740" spans="15:18">
      <c r="O2740" s="376"/>
      <c r="P2740" s="376"/>
      <c r="Q2740" s="376"/>
      <c r="R2740" s="376"/>
    </row>
    <row r="2741" spans="15:18">
      <c r="O2741" s="376"/>
      <c r="P2741" s="376"/>
      <c r="Q2741" s="376"/>
      <c r="R2741" s="376"/>
    </row>
    <row r="2742" spans="15:18">
      <c r="O2742" s="376"/>
      <c r="P2742" s="376"/>
      <c r="Q2742" s="376"/>
      <c r="R2742" s="376"/>
    </row>
    <row r="2743" spans="15:18">
      <c r="O2743" s="376"/>
      <c r="P2743" s="376"/>
      <c r="Q2743" s="376"/>
      <c r="R2743" s="376"/>
    </row>
    <row r="2744" spans="15:18">
      <c r="O2744" s="376"/>
      <c r="P2744" s="376"/>
      <c r="Q2744" s="376"/>
      <c r="R2744" s="376"/>
    </row>
    <row r="2745" spans="15:18">
      <c r="O2745" s="376"/>
      <c r="P2745" s="376"/>
      <c r="Q2745" s="376"/>
      <c r="R2745" s="376"/>
    </row>
    <row r="2746" spans="15:18">
      <c r="O2746" s="376"/>
      <c r="P2746" s="376"/>
      <c r="Q2746" s="376"/>
      <c r="R2746" s="376"/>
    </row>
    <row r="2747" spans="15:18">
      <c r="O2747" s="376"/>
      <c r="P2747" s="376"/>
      <c r="Q2747" s="376"/>
      <c r="R2747" s="376"/>
    </row>
    <row r="2748" spans="15:18">
      <c r="O2748" s="376"/>
      <c r="P2748" s="376"/>
      <c r="Q2748" s="376"/>
      <c r="R2748" s="376"/>
    </row>
    <row r="2749" spans="15:18">
      <c r="O2749" s="376"/>
      <c r="P2749" s="376"/>
      <c r="Q2749" s="376"/>
      <c r="R2749" s="376"/>
    </row>
    <row r="2750" spans="15:18">
      <c r="O2750" s="376"/>
      <c r="P2750" s="376"/>
      <c r="Q2750" s="376"/>
      <c r="R2750" s="376"/>
    </row>
    <row r="2751" spans="15:18">
      <c r="O2751" s="376"/>
      <c r="P2751" s="376"/>
      <c r="Q2751" s="376"/>
      <c r="R2751" s="376"/>
    </row>
    <row r="2752" spans="15:18">
      <c r="O2752" s="376"/>
      <c r="P2752" s="376"/>
      <c r="Q2752" s="376"/>
      <c r="R2752" s="376"/>
    </row>
    <row r="2753" spans="15:18">
      <c r="O2753" s="376"/>
      <c r="P2753" s="376"/>
      <c r="Q2753" s="376"/>
      <c r="R2753" s="376"/>
    </row>
    <row r="2754" spans="15:18">
      <c r="O2754" s="376"/>
      <c r="P2754" s="376"/>
      <c r="Q2754" s="376"/>
      <c r="R2754" s="376"/>
    </row>
    <row r="2755" spans="15:18">
      <c r="O2755" s="376"/>
      <c r="P2755" s="376"/>
      <c r="Q2755" s="376"/>
      <c r="R2755" s="376"/>
    </row>
    <row r="2756" spans="15:18">
      <c r="O2756" s="376"/>
      <c r="P2756" s="376"/>
      <c r="Q2756" s="376"/>
      <c r="R2756" s="376"/>
    </row>
    <row r="2757" spans="15:18">
      <c r="O2757" s="376"/>
      <c r="P2757" s="376"/>
      <c r="Q2757" s="376"/>
      <c r="R2757" s="376"/>
    </row>
    <row r="2758" spans="15:18">
      <c r="O2758" s="376"/>
      <c r="P2758" s="376"/>
      <c r="Q2758" s="376"/>
      <c r="R2758" s="376"/>
    </row>
    <row r="2759" spans="15:18">
      <c r="O2759" s="376"/>
      <c r="P2759" s="376"/>
      <c r="Q2759" s="376"/>
      <c r="R2759" s="376"/>
    </row>
    <row r="2760" spans="15:18">
      <c r="O2760" s="376"/>
      <c r="P2760" s="376"/>
      <c r="Q2760" s="376"/>
      <c r="R2760" s="376"/>
    </row>
    <row r="2761" spans="15:18">
      <c r="O2761" s="376"/>
      <c r="P2761" s="376"/>
      <c r="Q2761" s="376"/>
      <c r="R2761" s="376"/>
    </row>
    <row r="2762" spans="15:18">
      <c r="O2762" s="376"/>
      <c r="P2762" s="376"/>
      <c r="Q2762" s="376"/>
      <c r="R2762" s="376"/>
    </row>
    <row r="2763" spans="15:18">
      <c r="O2763" s="376"/>
      <c r="P2763" s="376"/>
      <c r="Q2763" s="376"/>
      <c r="R2763" s="376"/>
    </row>
    <row r="2764" spans="15:18">
      <c r="O2764" s="376"/>
      <c r="P2764" s="376"/>
      <c r="Q2764" s="376"/>
      <c r="R2764" s="376"/>
    </row>
    <row r="2765" spans="15:18">
      <c r="O2765" s="376"/>
      <c r="P2765" s="376"/>
      <c r="Q2765" s="376"/>
      <c r="R2765" s="376"/>
    </row>
    <row r="2766" spans="15:18">
      <c r="O2766" s="376"/>
      <c r="P2766" s="376"/>
      <c r="Q2766" s="376"/>
      <c r="R2766" s="376"/>
    </row>
    <row r="2767" spans="15:18">
      <c r="O2767" s="376"/>
      <c r="P2767" s="376"/>
      <c r="Q2767" s="376"/>
      <c r="R2767" s="376"/>
    </row>
    <row r="2768" spans="15:18">
      <c r="O2768" s="376"/>
      <c r="P2768" s="376"/>
      <c r="Q2768" s="376"/>
      <c r="R2768" s="376"/>
    </row>
    <row r="2769" spans="15:18">
      <c r="O2769" s="376"/>
      <c r="P2769" s="376"/>
      <c r="Q2769" s="376"/>
      <c r="R2769" s="376"/>
    </row>
    <row r="2770" spans="15:18">
      <c r="O2770" s="376"/>
      <c r="P2770" s="376"/>
      <c r="Q2770" s="376"/>
      <c r="R2770" s="376"/>
    </row>
    <row r="2771" spans="15:18">
      <c r="O2771" s="376"/>
      <c r="P2771" s="376"/>
      <c r="Q2771" s="376"/>
      <c r="R2771" s="376"/>
    </row>
    <row r="2772" spans="15:18">
      <c r="O2772" s="376"/>
      <c r="P2772" s="376"/>
      <c r="Q2772" s="376"/>
      <c r="R2772" s="376"/>
    </row>
    <row r="2773" spans="15:18">
      <c r="O2773" s="376"/>
      <c r="P2773" s="376"/>
      <c r="Q2773" s="376"/>
      <c r="R2773" s="376"/>
    </row>
    <row r="2774" spans="15:18">
      <c r="O2774" s="376"/>
      <c r="P2774" s="376"/>
      <c r="Q2774" s="376"/>
      <c r="R2774" s="376"/>
    </row>
    <row r="2775" spans="15:18">
      <c r="O2775" s="376"/>
      <c r="P2775" s="376"/>
      <c r="Q2775" s="376"/>
      <c r="R2775" s="376"/>
    </row>
    <row r="2776" spans="15:18">
      <c r="O2776" s="376"/>
      <c r="P2776" s="376"/>
      <c r="Q2776" s="376"/>
      <c r="R2776" s="376"/>
    </row>
    <row r="2777" spans="15:18">
      <c r="O2777" s="376"/>
      <c r="P2777" s="376"/>
      <c r="Q2777" s="376"/>
      <c r="R2777" s="376"/>
    </row>
    <row r="2778" spans="15:18">
      <c r="O2778" s="376"/>
      <c r="P2778" s="376"/>
      <c r="Q2778" s="376"/>
      <c r="R2778" s="376"/>
    </row>
    <row r="2779" spans="15:18">
      <c r="O2779" s="376"/>
      <c r="P2779" s="376"/>
      <c r="Q2779" s="376"/>
      <c r="R2779" s="376"/>
    </row>
    <row r="2780" spans="15:18">
      <c r="O2780" s="376"/>
      <c r="P2780" s="376"/>
      <c r="Q2780" s="376"/>
      <c r="R2780" s="376"/>
    </row>
    <row r="2781" spans="15:18">
      <c r="O2781" s="376"/>
      <c r="P2781" s="376"/>
      <c r="Q2781" s="376"/>
      <c r="R2781" s="376"/>
    </row>
    <row r="2782" spans="15:18">
      <c r="O2782" s="376"/>
      <c r="P2782" s="376"/>
      <c r="Q2782" s="376"/>
      <c r="R2782" s="376"/>
    </row>
    <row r="2783" spans="15:18">
      <c r="O2783" s="376"/>
      <c r="P2783" s="376"/>
      <c r="Q2783" s="376"/>
      <c r="R2783" s="376"/>
    </row>
    <row r="2784" spans="15:18">
      <c r="O2784" s="376"/>
      <c r="P2784" s="376"/>
      <c r="Q2784" s="376"/>
      <c r="R2784" s="376"/>
    </row>
    <row r="2785" spans="15:18">
      <c r="O2785" s="376"/>
      <c r="P2785" s="376"/>
      <c r="Q2785" s="376"/>
      <c r="R2785" s="376"/>
    </row>
    <row r="2786" spans="15:18">
      <c r="O2786" s="376"/>
      <c r="P2786" s="376"/>
      <c r="Q2786" s="376"/>
      <c r="R2786" s="376"/>
    </row>
    <row r="2787" spans="15:18">
      <c r="O2787" s="376"/>
      <c r="P2787" s="376"/>
      <c r="Q2787" s="376"/>
      <c r="R2787" s="376"/>
    </row>
    <row r="2788" spans="15:18">
      <c r="O2788" s="376"/>
      <c r="P2788" s="376"/>
      <c r="Q2788" s="376"/>
      <c r="R2788" s="376"/>
    </row>
    <row r="2789" spans="15:18">
      <c r="O2789" s="376"/>
      <c r="P2789" s="376"/>
      <c r="Q2789" s="376"/>
      <c r="R2789" s="376"/>
    </row>
    <row r="2790" spans="15:18">
      <c r="O2790" s="376"/>
      <c r="P2790" s="376"/>
      <c r="Q2790" s="376"/>
      <c r="R2790" s="376"/>
    </row>
    <row r="2791" spans="15:18">
      <c r="O2791" s="376"/>
      <c r="P2791" s="376"/>
      <c r="Q2791" s="376"/>
      <c r="R2791" s="376"/>
    </row>
    <row r="2792" spans="15:18">
      <c r="O2792" s="376"/>
      <c r="P2792" s="376"/>
      <c r="Q2792" s="376"/>
      <c r="R2792" s="376"/>
    </row>
    <row r="2793" spans="15:18">
      <c r="O2793" s="376"/>
      <c r="P2793" s="376"/>
      <c r="Q2793" s="376"/>
      <c r="R2793" s="376"/>
    </row>
    <row r="2794" spans="15:18">
      <c r="O2794" s="376"/>
      <c r="P2794" s="376"/>
      <c r="Q2794" s="376"/>
      <c r="R2794" s="376"/>
    </row>
    <row r="2795" spans="15:18">
      <c r="O2795" s="376"/>
      <c r="P2795" s="376"/>
      <c r="Q2795" s="376"/>
      <c r="R2795" s="376"/>
    </row>
    <row r="2796" spans="15:18">
      <c r="O2796" s="376"/>
      <c r="P2796" s="376"/>
      <c r="Q2796" s="376"/>
      <c r="R2796" s="376"/>
    </row>
    <row r="2797" spans="15:18">
      <c r="O2797" s="376"/>
      <c r="P2797" s="376"/>
      <c r="Q2797" s="376"/>
      <c r="R2797" s="376"/>
    </row>
    <row r="2798" spans="15:18">
      <c r="O2798" s="376"/>
      <c r="P2798" s="376"/>
      <c r="Q2798" s="376"/>
      <c r="R2798" s="376"/>
    </row>
    <row r="2799" spans="15:18">
      <c r="O2799" s="376"/>
      <c r="P2799" s="376"/>
      <c r="Q2799" s="376"/>
      <c r="R2799" s="376"/>
    </row>
    <row r="2800" spans="15:18">
      <c r="O2800" s="376"/>
      <c r="P2800" s="376"/>
      <c r="Q2800" s="376"/>
      <c r="R2800" s="376"/>
    </row>
    <row r="2801" spans="15:18">
      <c r="O2801" s="376"/>
      <c r="P2801" s="376"/>
      <c r="Q2801" s="376"/>
      <c r="R2801" s="376"/>
    </row>
    <row r="2802" spans="15:18">
      <c r="O2802" s="376"/>
      <c r="P2802" s="376"/>
      <c r="Q2802" s="376"/>
      <c r="R2802" s="376"/>
    </row>
    <row r="2803" spans="15:18">
      <c r="O2803" s="376"/>
      <c r="P2803" s="376"/>
      <c r="Q2803" s="376"/>
      <c r="R2803" s="376"/>
    </row>
    <row r="2804" spans="15:18">
      <c r="O2804" s="376"/>
      <c r="P2804" s="376"/>
      <c r="Q2804" s="376"/>
      <c r="R2804" s="376"/>
    </row>
    <row r="2805" spans="15:18">
      <c r="O2805" s="376"/>
      <c r="P2805" s="376"/>
      <c r="Q2805" s="376"/>
      <c r="R2805" s="376"/>
    </row>
    <row r="2806" spans="15:18">
      <c r="O2806" s="376"/>
      <c r="P2806" s="376"/>
      <c r="Q2806" s="376"/>
      <c r="R2806" s="376"/>
    </row>
    <row r="2807" spans="15:18">
      <c r="O2807" s="376"/>
      <c r="P2807" s="376"/>
      <c r="Q2807" s="376"/>
      <c r="R2807" s="376"/>
    </row>
    <row r="2808" spans="15:18">
      <c r="O2808" s="376"/>
      <c r="P2808" s="376"/>
      <c r="Q2808" s="376"/>
      <c r="R2808" s="376"/>
    </row>
    <row r="2809" spans="15:18">
      <c r="O2809" s="376"/>
      <c r="P2809" s="376"/>
      <c r="Q2809" s="376"/>
      <c r="R2809" s="376"/>
    </row>
    <row r="2810" spans="15:18">
      <c r="O2810" s="376"/>
      <c r="P2810" s="376"/>
      <c r="Q2810" s="376"/>
      <c r="R2810" s="376"/>
    </row>
    <row r="2811" spans="15:18">
      <c r="O2811" s="376"/>
      <c r="P2811" s="376"/>
      <c r="Q2811" s="376"/>
      <c r="R2811" s="376"/>
    </row>
    <row r="2812" spans="15:18">
      <c r="O2812" s="376"/>
      <c r="P2812" s="376"/>
      <c r="Q2812" s="376"/>
      <c r="R2812" s="376"/>
    </row>
    <row r="2813" spans="15:18">
      <c r="O2813" s="376"/>
      <c r="P2813" s="376"/>
      <c r="Q2813" s="376"/>
      <c r="R2813" s="376"/>
    </row>
    <row r="2814" spans="15:18">
      <c r="O2814" s="376"/>
      <c r="P2814" s="376"/>
      <c r="Q2814" s="376"/>
      <c r="R2814" s="376"/>
    </row>
    <row r="2815" spans="15:18">
      <c r="O2815" s="376"/>
      <c r="P2815" s="376"/>
      <c r="Q2815" s="376"/>
      <c r="R2815" s="376"/>
    </row>
    <row r="2816" spans="15:18">
      <c r="O2816" s="376"/>
      <c r="P2816" s="376"/>
      <c r="Q2816" s="376"/>
      <c r="R2816" s="376"/>
    </row>
    <row r="2817" spans="15:18">
      <c r="O2817" s="376"/>
      <c r="P2817" s="376"/>
      <c r="Q2817" s="376"/>
      <c r="R2817" s="376"/>
    </row>
    <row r="2818" spans="15:18">
      <c r="O2818" s="376"/>
      <c r="P2818" s="376"/>
      <c r="Q2818" s="376"/>
      <c r="R2818" s="376"/>
    </row>
    <row r="2819" spans="15:18">
      <c r="O2819" s="376"/>
      <c r="P2819" s="376"/>
      <c r="Q2819" s="376"/>
      <c r="R2819" s="376"/>
    </row>
    <row r="2820" spans="15:18">
      <c r="O2820" s="376"/>
      <c r="P2820" s="376"/>
      <c r="Q2820" s="376"/>
      <c r="R2820" s="376"/>
    </row>
    <row r="2821" spans="15:18">
      <c r="O2821" s="376"/>
      <c r="P2821" s="376"/>
      <c r="Q2821" s="376"/>
      <c r="R2821" s="376"/>
    </row>
    <row r="2822" spans="15:18">
      <c r="O2822" s="376"/>
      <c r="P2822" s="376"/>
      <c r="Q2822" s="376"/>
      <c r="R2822" s="376"/>
    </row>
    <row r="2823" spans="15:18">
      <c r="O2823" s="376"/>
      <c r="P2823" s="376"/>
      <c r="Q2823" s="376"/>
      <c r="R2823" s="376"/>
    </row>
    <row r="2824" spans="15:18">
      <c r="O2824" s="376"/>
      <c r="P2824" s="376"/>
      <c r="Q2824" s="376"/>
      <c r="R2824" s="376"/>
    </row>
    <row r="2825" spans="15:18">
      <c r="O2825" s="376"/>
      <c r="P2825" s="376"/>
      <c r="Q2825" s="376"/>
      <c r="R2825" s="376"/>
    </row>
    <row r="2826" spans="15:18">
      <c r="O2826" s="376"/>
      <c r="P2826" s="376"/>
      <c r="Q2826" s="376"/>
      <c r="R2826" s="376"/>
    </row>
    <row r="2827" spans="15:18">
      <c r="O2827" s="376"/>
      <c r="P2827" s="376"/>
      <c r="Q2827" s="376"/>
      <c r="R2827" s="376"/>
    </row>
    <row r="2828" spans="15:18">
      <c r="O2828" s="376"/>
      <c r="P2828" s="376"/>
      <c r="Q2828" s="376"/>
      <c r="R2828" s="376"/>
    </row>
    <row r="2829" spans="15:18">
      <c r="O2829" s="376"/>
      <c r="P2829" s="376"/>
      <c r="Q2829" s="376"/>
      <c r="R2829" s="376"/>
    </row>
    <row r="2830" spans="15:18">
      <c r="O2830" s="376"/>
      <c r="P2830" s="376"/>
      <c r="Q2830" s="376"/>
      <c r="R2830" s="376"/>
    </row>
    <row r="2831" spans="15:18">
      <c r="O2831" s="376"/>
      <c r="P2831" s="376"/>
      <c r="Q2831" s="376"/>
      <c r="R2831" s="376"/>
    </row>
    <row r="2832" spans="15:18">
      <c r="O2832" s="376"/>
      <c r="P2832" s="376"/>
      <c r="Q2832" s="376"/>
      <c r="R2832" s="376"/>
    </row>
    <row r="2833" spans="15:18">
      <c r="O2833" s="376"/>
      <c r="P2833" s="376"/>
      <c r="Q2833" s="376"/>
      <c r="R2833" s="376"/>
    </row>
    <row r="2834" spans="15:18">
      <c r="O2834" s="376"/>
      <c r="P2834" s="376"/>
      <c r="Q2834" s="376"/>
      <c r="R2834" s="376"/>
    </row>
    <row r="2835" spans="15:18">
      <c r="O2835" s="376"/>
      <c r="P2835" s="376"/>
      <c r="Q2835" s="376"/>
      <c r="R2835" s="376"/>
    </row>
    <row r="2836" spans="15:18">
      <c r="O2836" s="376"/>
      <c r="P2836" s="376"/>
      <c r="Q2836" s="376"/>
      <c r="R2836" s="376"/>
    </row>
    <row r="2837" spans="15:18">
      <c r="O2837" s="376"/>
      <c r="P2837" s="376"/>
      <c r="Q2837" s="376"/>
      <c r="R2837" s="376"/>
    </row>
    <row r="2838" spans="15:18">
      <c r="O2838" s="376"/>
      <c r="P2838" s="376"/>
      <c r="Q2838" s="376"/>
      <c r="R2838" s="376"/>
    </row>
    <row r="2839" spans="15:18">
      <c r="O2839" s="376"/>
      <c r="P2839" s="376"/>
      <c r="Q2839" s="376"/>
      <c r="R2839" s="376"/>
    </row>
    <row r="2840" spans="15:18">
      <c r="O2840" s="376"/>
      <c r="P2840" s="376"/>
      <c r="Q2840" s="376"/>
      <c r="R2840" s="376"/>
    </row>
    <row r="2841" spans="15:18">
      <c r="O2841" s="376"/>
      <c r="P2841" s="376"/>
      <c r="Q2841" s="376"/>
      <c r="R2841" s="376"/>
    </row>
    <row r="2842" spans="15:18">
      <c r="O2842" s="376"/>
      <c r="P2842" s="376"/>
      <c r="Q2842" s="376"/>
      <c r="R2842" s="376"/>
    </row>
    <row r="2843" spans="15:18">
      <c r="O2843" s="376"/>
      <c r="P2843" s="376"/>
      <c r="Q2843" s="376"/>
      <c r="R2843" s="376"/>
    </row>
    <row r="2844" spans="15:18">
      <c r="O2844" s="376"/>
      <c r="P2844" s="376"/>
      <c r="Q2844" s="376"/>
      <c r="R2844" s="376"/>
    </row>
    <row r="2845" spans="15:18">
      <c r="O2845" s="376"/>
      <c r="P2845" s="376"/>
      <c r="Q2845" s="376"/>
      <c r="R2845" s="376"/>
    </row>
    <row r="2846" spans="15:18">
      <c r="O2846" s="376"/>
      <c r="P2846" s="376"/>
      <c r="Q2846" s="376"/>
      <c r="R2846" s="376"/>
    </row>
    <row r="2847" spans="15:18">
      <c r="O2847" s="376"/>
      <c r="P2847" s="376"/>
      <c r="Q2847" s="376"/>
      <c r="R2847" s="376"/>
    </row>
    <row r="2848" spans="15:18">
      <c r="O2848" s="376"/>
      <c r="P2848" s="376"/>
      <c r="Q2848" s="376"/>
      <c r="R2848" s="376"/>
    </row>
    <row r="2849" spans="15:18">
      <c r="O2849" s="376"/>
      <c r="P2849" s="376"/>
      <c r="Q2849" s="376"/>
      <c r="R2849" s="376"/>
    </row>
    <row r="2850" spans="15:18">
      <c r="O2850" s="376"/>
      <c r="P2850" s="376"/>
      <c r="Q2850" s="376"/>
      <c r="R2850" s="376"/>
    </row>
    <row r="2851" spans="15:18">
      <c r="O2851" s="376"/>
      <c r="P2851" s="376"/>
      <c r="Q2851" s="376"/>
      <c r="R2851" s="376"/>
    </row>
    <row r="2852" spans="15:18">
      <c r="O2852" s="376"/>
      <c r="P2852" s="376"/>
      <c r="Q2852" s="376"/>
      <c r="R2852" s="376"/>
    </row>
    <row r="2853" spans="15:18">
      <c r="O2853" s="376"/>
      <c r="P2853" s="376"/>
      <c r="Q2853" s="376"/>
      <c r="R2853" s="376"/>
    </row>
    <row r="2854" spans="15:18">
      <c r="O2854" s="376"/>
      <c r="P2854" s="376"/>
      <c r="Q2854" s="376"/>
      <c r="R2854" s="376"/>
    </row>
    <row r="2855" spans="15:18">
      <c r="O2855" s="376"/>
      <c r="P2855" s="376"/>
      <c r="Q2855" s="376"/>
      <c r="R2855" s="376"/>
    </row>
    <row r="2856" spans="15:18">
      <c r="O2856" s="376"/>
      <c r="P2856" s="376"/>
      <c r="Q2856" s="376"/>
      <c r="R2856" s="376"/>
    </row>
    <row r="2857" spans="15:18">
      <c r="O2857" s="376"/>
      <c r="P2857" s="376"/>
      <c r="Q2857" s="376"/>
      <c r="R2857" s="376"/>
    </row>
    <row r="2858" spans="15:18">
      <c r="O2858" s="376"/>
      <c r="P2858" s="376"/>
      <c r="Q2858" s="376"/>
      <c r="R2858" s="376"/>
    </row>
    <row r="2859" spans="15:18">
      <c r="O2859" s="376"/>
      <c r="P2859" s="376"/>
      <c r="Q2859" s="376"/>
      <c r="R2859" s="376"/>
    </row>
    <row r="2860" spans="15:18">
      <c r="O2860" s="376"/>
      <c r="P2860" s="376"/>
      <c r="Q2860" s="376"/>
      <c r="R2860" s="376"/>
    </row>
    <row r="2861" spans="15:18">
      <c r="O2861" s="376"/>
      <c r="P2861" s="376"/>
      <c r="Q2861" s="376"/>
      <c r="R2861" s="376"/>
    </row>
    <row r="2862" spans="15:18">
      <c r="O2862" s="376"/>
      <c r="P2862" s="376"/>
      <c r="Q2862" s="376"/>
      <c r="R2862" s="376"/>
    </row>
    <row r="2863" spans="15:18">
      <c r="O2863" s="376"/>
      <c r="P2863" s="376"/>
      <c r="Q2863" s="376"/>
      <c r="R2863" s="376"/>
    </row>
    <row r="2864" spans="15:18">
      <c r="O2864" s="376"/>
      <c r="P2864" s="376"/>
      <c r="Q2864" s="376"/>
      <c r="R2864" s="376"/>
    </row>
    <row r="2865" spans="15:18">
      <c r="O2865" s="376"/>
      <c r="P2865" s="376"/>
      <c r="Q2865" s="376"/>
      <c r="R2865" s="376"/>
    </row>
    <row r="2866" spans="15:18">
      <c r="O2866" s="376"/>
      <c r="P2866" s="376"/>
      <c r="Q2866" s="376"/>
      <c r="R2866" s="376"/>
    </row>
    <row r="2867" spans="15:18">
      <c r="O2867" s="376"/>
      <c r="P2867" s="376"/>
      <c r="Q2867" s="376"/>
      <c r="R2867" s="376"/>
    </row>
    <row r="2868" spans="15:18">
      <c r="O2868" s="376"/>
      <c r="P2868" s="376"/>
      <c r="Q2868" s="376"/>
      <c r="R2868" s="376"/>
    </row>
    <row r="2869" spans="15:18">
      <c r="O2869" s="376"/>
      <c r="P2869" s="376"/>
      <c r="Q2869" s="376"/>
      <c r="R2869" s="376"/>
    </row>
    <row r="2870" spans="15:18">
      <c r="O2870" s="376"/>
      <c r="P2870" s="376"/>
      <c r="Q2870" s="376"/>
      <c r="R2870" s="376"/>
    </row>
    <row r="2871" spans="15:18">
      <c r="O2871" s="376"/>
      <c r="P2871" s="376"/>
      <c r="Q2871" s="376"/>
      <c r="R2871" s="376"/>
    </row>
    <row r="2872" spans="15:18">
      <c r="O2872" s="376"/>
      <c r="P2872" s="376"/>
      <c r="Q2872" s="376"/>
      <c r="R2872" s="376"/>
    </row>
    <row r="2873" spans="15:18">
      <c r="O2873" s="376"/>
      <c r="P2873" s="376"/>
      <c r="Q2873" s="376"/>
      <c r="R2873" s="376"/>
    </row>
    <row r="2874" spans="15:18">
      <c r="O2874" s="376"/>
      <c r="P2874" s="376"/>
      <c r="Q2874" s="376"/>
      <c r="R2874" s="376"/>
    </row>
    <row r="2875" spans="15:18">
      <c r="O2875" s="376"/>
      <c r="P2875" s="376"/>
      <c r="Q2875" s="376"/>
      <c r="R2875" s="376"/>
    </row>
    <row r="2876" spans="15:18">
      <c r="O2876" s="376"/>
      <c r="P2876" s="376"/>
      <c r="Q2876" s="376"/>
      <c r="R2876" s="376"/>
    </row>
    <row r="2877" spans="15:18">
      <c r="O2877" s="376"/>
      <c r="P2877" s="376"/>
      <c r="Q2877" s="376"/>
      <c r="R2877" s="376"/>
    </row>
    <row r="2878" spans="15:18">
      <c r="O2878" s="376"/>
      <c r="P2878" s="376"/>
      <c r="Q2878" s="376"/>
      <c r="R2878" s="376"/>
    </row>
    <row r="2879" spans="15:18">
      <c r="O2879" s="376"/>
      <c r="P2879" s="376"/>
      <c r="Q2879" s="376"/>
      <c r="R2879" s="376"/>
    </row>
    <row r="2880" spans="15:18">
      <c r="O2880" s="376"/>
      <c r="P2880" s="376"/>
      <c r="Q2880" s="376"/>
      <c r="R2880" s="376"/>
    </row>
    <row r="2881" spans="15:18">
      <c r="O2881" s="376"/>
      <c r="P2881" s="376"/>
      <c r="Q2881" s="376"/>
      <c r="R2881" s="376"/>
    </row>
    <row r="2882" spans="15:18">
      <c r="O2882" s="376"/>
      <c r="P2882" s="376"/>
      <c r="Q2882" s="376"/>
      <c r="R2882" s="376"/>
    </row>
    <row r="2883" spans="15:18">
      <c r="O2883" s="376"/>
      <c r="P2883" s="376"/>
      <c r="Q2883" s="376"/>
      <c r="R2883" s="376"/>
    </row>
    <row r="2884" spans="15:18">
      <c r="O2884" s="376"/>
      <c r="P2884" s="376"/>
      <c r="Q2884" s="376"/>
      <c r="R2884" s="376"/>
    </row>
    <row r="2885" spans="15:18">
      <c r="O2885" s="376"/>
      <c r="P2885" s="376"/>
      <c r="Q2885" s="376"/>
      <c r="R2885" s="376"/>
    </row>
    <row r="2886" spans="15:18">
      <c r="O2886" s="376"/>
      <c r="P2886" s="376"/>
      <c r="Q2886" s="376"/>
      <c r="R2886" s="376"/>
    </row>
    <row r="2887" spans="15:18">
      <c r="O2887" s="376"/>
      <c r="P2887" s="376"/>
      <c r="Q2887" s="376"/>
      <c r="R2887" s="376"/>
    </row>
    <row r="2888" spans="15:18">
      <c r="O2888" s="376"/>
      <c r="P2888" s="376"/>
      <c r="Q2888" s="376"/>
      <c r="R2888" s="376"/>
    </row>
    <row r="2889" spans="15:18">
      <c r="O2889" s="376"/>
      <c r="P2889" s="376"/>
      <c r="Q2889" s="376"/>
      <c r="R2889" s="376"/>
    </row>
    <row r="2890" spans="15:18">
      <c r="O2890" s="376"/>
      <c r="P2890" s="376"/>
      <c r="Q2890" s="376"/>
      <c r="R2890" s="376"/>
    </row>
    <row r="2891" spans="15:18">
      <c r="O2891" s="376"/>
      <c r="P2891" s="376"/>
      <c r="Q2891" s="376"/>
      <c r="R2891" s="376"/>
    </row>
    <row r="2892" spans="15:18">
      <c r="O2892" s="376"/>
      <c r="P2892" s="376"/>
      <c r="Q2892" s="376"/>
      <c r="R2892" s="376"/>
    </row>
    <row r="2893" spans="15:18">
      <c r="O2893" s="376"/>
      <c r="P2893" s="376"/>
      <c r="Q2893" s="376"/>
      <c r="R2893" s="376"/>
    </row>
    <row r="2894" spans="15:18">
      <c r="O2894" s="376"/>
      <c r="P2894" s="376"/>
      <c r="Q2894" s="376"/>
      <c r="R2894" s="376"/>
    </row>
    <row r="2895" spans="15:18">
      <c r="O2895" s="376"/>
      <c r="P2895" s="376"/>
      <c r="Q2895" s="376"/>
      <c r="R2895" s="376"/>
    </row>
    <row r="2896" spans="15:18">
      <c r="O2896" s="376"/>
      <c r="P2896" s="376"/>
      <c r="Q2896" s="376"/>
      <c r="R2896" s="376"/>
    </row>
    <row r="2897" spans="15:18">
      <c r="O2897" s="376"/>
      <c r="P2897" s="376"/>
      <c r="Q2897" s="376"/>
      <c r="R2897" s="376"/>
    </row>
    <row r="2898" spans="15:18">
      <c r="O2898" s="376"/>
      <c r="P2898" s="376"/>
      <c r="Q2898" s="376"/>
      <c r="R2898" s="376"/>
    </row>
    <row r="2899" spans="15:18">
      <c r="O2899" s="376"/>
      <c r="P2899" s="376"/>
      <c r="Q2899" s="376"/>
      <c r="R2899" s="376"/>
    </row>
    <row r="2900" spans="15:18">
      <c r="O2900" s="376"/>
      <c r="P2900" s="376"/>
      <c r="Q2900" s="376"/>
      <c r="R2900" s="376"/>
    </row>
    <row r="2901" spans="15:18">
      <c r="O2901" s="376"/>
      <c r="P2901" s="376"/>
      <c r="Q2901" s="376"/>
      <c r="R2901" s="376"/>
    </row>
    <row r="2902" spans="15:18">
      <c r="O2902" s="376"/>
      <c r="P2902" s="376"/>
      <c r="Q2902" s="376"/>
      <c r="R2902" s="376"/>
    </row>
    <row r="2903" spans="15:18">
      <c r="O2903" s="376"/>
      <c r="P2903" s="376"/>
      <c r="Q2903" s="376"/>
      <c r="R2903" s="376"/>
    </row>
    <row r="2904" spans="15:18">
      <c r="O2904" s="376"/>
      <c r="P2904" s="376"/>
      <c r="Q2904" s="376"/>
      <c r="R2904" s="376"/>
    </row>
    <row r="2905" spans="15:18">
      <c r="O2905" s="376"/>
      <c r="P2905" s="376"/>
      <c r="Q2905" s="376"/>
      <c r="R2905" s="376"/>
    </row>
    <row r="2906" spans="15:18">
      <c r="O2906" s="376"/>
      <c r="P2906" s="376"/>
      <c r="Q2906" s="376"/>
      <c r="R2906" s="376"/>
    </row>
    <row r="2907" spans="15:18">
      <c r="O2907" s="376"/>
      <c r="P2907" s="376"/>
      <c r="Q2907" s="376"/>
      <c r="R2907" s="376"/>
    </row>
    <row r="2908" spans="15:18">
      <c r="O2908" s="376"/>
      <c r="P2908" s="376"/>
      <c r="Q2908" s="376"/>
      <c r="R2908" s="376"/>
    </row>
    <row r="2909" spans="15:18">
      <c r="O2909" s="376"/>
      <c r="P2909" s="376"/>
      <c r="Q2909" s="376"/>
      <c r="R2909" s="376"/>
    </row>
    <row r="2910" spans="15:18">
      <c r="O2910" s="376"/>
      <c r="P2910" s="376"/>
      <c r="Q2910" s="376"/>
      <c r="R2910" s="376"/>
    </row>
    <row r="2911" spans="15:18">
      <c r="O2911" s="376"/>
      <c r="P2911" s="376"/>
      <c r="Q2911" s="376"/>
      <c r="R2911" s="376"/>
    </row>
    <row r="2912" spans="15:18">
      <c r="O2912" s="376"/>
      <c r="P2912" s="376"/>
      <c r="Q2912" s="376"/>
      <c r="R2912" s="376"/>
    </row>
    <row r="2913" spans="15:18">
      <c r="O2913" s="376"/>
      <c r="P2913" s="376"/>
      <c r="Q2913" s="376"/>
      <c r="R2913" s="376"/>
    </row>
    <row r="2914" spans="15:18">
      <c r="O2914" s="376"/>
      <c r="P2914" s="376"/>
      <c r="Q2914" s="376"/>
      <c r="R2914" s="376"/>
    </row>
    <row r="2915" spans="15:18">
      <c r="O2915" s="376"/>
      <c r="P2915" s="376"/>
      <c r="Q2915" s="376"/>
      <c r="R2915" s="376"/>
    </row>
    <row r="2916" spans="15:18">
      <c r="O2916" s="376"/>
      <c r="P2916" s="376"/>
      <c r="Q2916" s="376"/>
      <c r="R2916" s="376"/>
    </row>
    <row r="2917" spans="15:18">
      <c r="O2917" s="376"/>
      <c r="P2917" s="376"/>
      <c r="Q2917" s="376"/>
      <c r="R2917" s="376"/>
    </row>
    <row r="2918" spans="15:18">
      <c r="O2918" s="376"/>
      <c r="P2918" s="376"/>
      <c r="Q2918" s="376"/>
      <c r="R2918" s="376"/>
    </row>
    <row r="2919" spans="15:18">
      <c r="O2919" s="376"/>
      <c r="P2919" s="376"/>
      <c r="Q2919" s="376"/>
      <c r="R2919" s="376"/>
    </row>
    <row r="2920" spans="15:18">
      <c r="O2920" s="376"/>
      <c r="P2920" s="376"/>
      <c r="Q2920" s="376"/>
      <c r="R2920" s="376"/>
    </row>
    <row r="2921" spans="15:18">
      <c r="O2921" s="376"/>
      <c r="P2921" s="376"/>
      <c r="Q2921" s="376"/>
      <c r="R2921" s="376"/>
    </row>
    <row r="2922" spans="15:18">
      <c r="O2922" s="376"/>
      <c r="P2922" s="376"/>
      <c r="Q2922" s="376"/>
      <c r="R2922" s="376"/>
    </row>
    <row r="2923" spans="15:18">
      <c r="O2923" s="376"/>
      <c r="P2923" s="376"/>
      <c r="Q2923" s="376"/>
      <c r="R2923" s="376"/>
    </row>
    <row r="2924" spans="15:18">
      <c r="O2924" s="376"/>
      <c r="P2924" s="376"/>
      <c r="Q2924" s="376"/>
      <c r="R2924" s="376"/>
    </row>
    <row r="2925" spans="15:18">
      <c r="O2925" s="376"/>
      <c r="P2925" s="376"/>
      <c r="Q2925" s="376"/>
      <c r="R2925" s="376"/>
    </row>
    <row r="2926" spans="15:18">
      <c r="O2926" s="376"/>
      <c r="P2926" s="376"/>
      <c r="Q2926" s="376"/>
      <c r="R2926" s="376"/>
    </row>
    <row r="2927" spans="15:18">
      <c r="O2927" s="376"/>
      <c r="P2927" s="376"/>
      <c r="Q2927" s="376"/>
      <c r="R2927" s="376"/>
    </row>
    <row r="2928" spans="15:18">
      <c r="O2928" s="376"/>
      <c r="P2928" s="376"/>
      <c r="Q2928" s="376"/>
      <c r="R2928" s="376"/>
    </row>
    <row r="2929" spans="15:18">
      <c r="O2929" s="376"/>
      <c r="P2929" s="376"/>
      <c r="Q2929" s="376"/>
      <c r="R2929" s="376"/>
    </row>
    <row r="2930" spans="15:18">
      <c r="O2930" s="376"/>
      <c r="P2930" s="376"/>
      <c r="Q2930" s="376"/>
      <c r="R2930" s="376"/>
    </row>
    <row r="2931" spans="15:18">
      <c r="O2931" s="376"/>
      <c r="P2931" s="376"/>
      <c r="Q2931" s="376"/>
      <c r="R2931" s="376"/>
    </row>
    <row r="2932" spans="15:18">
      <c r="O2932" s="376"/>
      <c r="P2932" s="376"/>
      <c r="Q2932" s="376"/>
      <c r="R2932" s="376"/>
    </row>
    <row r="2933" spans="15:18">
      <c r="O2933" s="376"/>
      <c r="P2933" s="376"/>
      <c r="Q2933" s="376"/>
      <c r="R2933" s="376"/>
    </row>
    <row r="2934" spans="15:18">
      <c r="O2934" s="376"/>
      <c r="P2934" s="376"/>
      <c r="Q2934" s="376"/>
      <c r="R2934" s="376"/>
    </row>
    <row r="2935" spans="15:18">
      <c r="O2935" s="376"/>
      <c r="P2935" s="376"/>
      <c r="Q2935" s="376"/>
      <c r="R2935" s="376"/>
    </row>
    <row r="2936" spans="15:18">
      <c r="O2936" s="376"/>
      <c r="P2936" s="376"/>
      <c r="Q2936" s="376"/>
      <c r="R2936" s="376"/>
    </row>
    <row r="2937" spans="15:18">
      <c r="O2937" s="376"/>
      <c r="P2937" s="376"/>
      <c r="Q2937" s="376"/>
      <c r="R2937" s="376"/>
    </row>
    <row r="2938" spans="15:18">
      <c r="O2938" s="376"/>
      <c r="P2938" s="376"/>
      <c r="Q2938" s="376"/>
      <c r="R2938" s="376"/>
    </row>
    <row r="2939" spans="15:18">
      <c r="O2939" s="376"/>
      <c r="P2939" s="376"/>
      <c r="Q2939" s="376"/>
      <c r="R2939" s="376"/>
    </row>
    <row r="2940" spans="15:18">
      <c r="O2940" s="376"/>
      <c r="P2940" s="376"/>
      <c r="Q2940" s="376"/>
      <c r="R2940" s="376"/>
    </row>
    <row r="2941" spans="15:18">
      <c r="O2941" s="376"/>
      <c r="P2941" s="376"/>
      <c r="Q2941" s="376"/>
      <c r="R2941" s="376"/>
    </row>
    <row r="2942" spans="15:18">
      <c r="O2942" s="376"/>
      <c r="P2942" s="376"/>
      <c r="Q2942" s="376"/>
      <c r="R2942" s="376"/>
    </row>
    <row r="2943" spans="15:18">
      <c r="O2943" s="376"/>
      <c r="P2943" s="376"/>
      <c r="Q2943" s="376"/>
      <c r="R2943" s="376"/>
    </row>
    <row r="2944" spans="15:18">
      <c r="O2944" s="376"/>
      <c r="P2944" s="376"/>
      <c r="Q2944" s="376"/>
      <c r="R2944" s="376"/>
    </row>
    <row r="2945" spans="15:18">
      <c r="O2945" s="376"/>
      <c r="P2945" s="376"/>
      <c r="Q2945" s="376"/>
      <c r="R2945" s="376"/>
    </row>
    <row r="2946" spans="15:18">
      <c r="O2946" s="376"/>
      <c r="P2946" s="376"/>
      <c r="Q2946" s="376"/>
      <c r="R2946" s="376"/>
    </row>
    <row r="2947" spans="15:18">
      <c r="O2947" s="376"/>
      <c r="P2947" s="376"/>
      <c r="Q2947" s="376"/>
      <c r="R2947" s="376"/>
    </row>
    <row r="2948" spans="15:18">
      <c r="O2948" s="376"/>
      <c r="P2948" s="376"/>
      <c r="Q2948" s="376"/>
      <c r="R2948" s="376"/>
    </row>
    <row r="2949" spans="15:18">
      <c r="O2949" s="376"/>
      <c r="P2949" s="376"/>
      <c r="Q2949" s="376"/>
      <c r="R2949" s="376"/>
    </row>
    <row r="2950" spans="15:18">
      <c r="O2950" s="376"/>
      <c r="P2950" s="376"/>
      <c r="Q2950" s="376"/>
      <c r="R2950" s="376"/>
    </row>
    <row r="2951" spans="15:18">
      <c r="O2951" s="376"/>
      <c r="P2951" s="376"/>
      <c r="Q2951" s="376"/>
      <c r="R2951" s="376"/>
    </row>
    <row r="2952" spans="15:18">
      <c r="O2952" s="376"/>
      <c r="P2952" s="376"/>
      <c r="Q2952" s="376"/>
      <c r="R2952" s="376"/>
    </row>
    <row r="2953" spans="15:18">
      <c r="O2953" s="376"/>
      <c r="P2953" s="376"/>
      <c r="Q2953" s="376"/>
      <c r="R2953" s="376"/>
    </row>
    <row r="2954" spans="15:18">
      <c r="O2954" s="376"/>
      <c r="P2954" s="376"/>
      <c r="Q2954" s="376"/>
      <c r="R2954" s="376"/>
    </row>
    <row r="2955" spans="15:18">
      <c r="O2955" s="376"/>
      <c r="P2955" s="376"/>
      <c r="Q2955" s="376"/>
      <c r="R2955" s="376"/>
    </row>
    <row r="2956" spans="15:18">
      <c r="O2956" s="376"/>
      <c r="P2956" s="376"/>
      <c r="Q2956" s="376"/>
      <c r="R2956" s="376"/>
    </row>
    <row r="2957" spans="15:18">
      <c r="O2957" s="376"/>
      <c r="P2957" s="376"/>
      <c r="Q2957" s="376"/>
      <c r="R2957" s="376"/>
    </row>
    <row r="2958" spans="15:18">
      <c r="O2958" s="376"/>
      <c r="P2958" s="376"/>
      <c r="Q2958" s="376"/>
      <c r="R2958" s="376"/>
    </row>
    <row r="2959" spans="15:18">
      <c r="O2959" s="376"/>
      <c r="P2959" s="376"/>
      <c r="Q2959" s="376"/>
      <c r="R2959" s="376"/>
    </row>
    <row r="2960" spans="15:18">
      <c r="O2960" s="376"/>
      <c r="P2960" s="376"/>
      <c r="Q2960" s="376"/>
      <c r="R2960" s="376"/>
    </row>
    <row r="2961" spans="15:18">
      <c r="O2961" s="376"/>
      <c r="P2961" s="376"/>
      <c r="Q2961" s="376"/>
      <c r="R2961" s="376"/>
    </row>
    <row r="2962" spans="15:18">
      <c r="O2962" s="376"/>
      <c r="P2962" s="376"/>
      <c r="Q2962" s="376"/>
      <c r="R2962" s="376"/>
    </row>
    <row r="2963" spans="15:18">
      <c r="O2963" s="376"/>
      <c r="P2963" s="376"/>
      <c r="Q2963" s="376"/>
      <c r="R2963" s="376"/>
    </row>
    <row r="2964" spans="15:18">
      <c r="O2964" s="376"/>
      <c r="P2964" s="376"/>
      <c r="Q2964" s="376"/>
      <c r="R2964" s="376"/>
    </row>
    <row r="2965" spans="15:18">
      <c r="O2965" s="376"/>
      <c r="P2965" s="376"/>
      <c r="Q2965" s="376"/>
      <c r="R2965" s="376"/>
    </row>
    <row r="2966" spans="15:18">
      <c r="O2966" s="376"/>
      <c r="P2966" s="376"/>
      <c r="Q2966" s="376"/>
      <c r="R2966" s="376"/>
    </row>
    <row r="2967" spans="15:18">
      <c r="O2967" s="376"/>
      <c r="P2967" s="376"/>
      <c r="Q2967" s="376"/>
      <c r="R2967" s="376"/>
    </row>
    <row r="2968" spans="15:18">
      <c r="O2968" s="376"/>
      <c r="P2968" s="376"/>
      <c r="Q2968" s="376"/>
      <c r="R2968" s="376"/>
    </row>
    <row r="2969" spans="15:18">
      <c r="O2969" s="376"/>
      <c r="P2969" s="376"/>
      <c r="Q2969" s="376"/>
      <c r="R2969" s="376"/>
    </row>
    <row r="2970" spans="15:18">
      <c r="O2970" s="376"/>
      <c r="P2970" s="376"/>
      <c r="Q2970" s="376"/>
      <c r="R2970" s="376"/>
    </row>
    <row r="2971" spans="15:18">
      <c r="O2971" s="376"/>
      <c r="P2971" s="376"/>
      <c r="Q2971" s="376"/>
      <c r="R2971" s="376"/>
    </row>
    <row r="2972" spans="15:18">
      <c r="O2972" s="376"/>
      <c r="P2972" s="376"/>
      <c r="Q2972" s="376"/>
      <c r="R2972" s="376"/>
    </row>
    <row r="2973" spans="15:18">
      <c r="O2973" s="376"/>
      <c r="P2973" s="376"/>
      <c r="Q2973" s="376"/>
      <c r="R2973" s="376"/>
    </row>
    <row r="2974" spans="15:18">
      <c r="O2974" s="376"/>
      <c r="P2974" s="376"/>
      <c r="Q2974" s="376"/>
      <c r="R2974" s="376"/>
    </row>
    <row r="2975" spans="15:18">
      <c r="O2975" s="376"/>
      <c r="P2975" s="376"/>
      <c r="Q2975" s="376"/>
      <c r="R2975" s="376"/>
    </row>
    <row r="2976" spans="15:18">
      <c r="O2976" s="376"/>
      <c r="P2976" s="376"/>
      <c r="Q2976" s="376"/>
      <c r="R2976" s="376"/>
    </row>
    <row r="2977" spans="15:18">
      <c r="O2977" s="376"/>
      <c r="P2977" s="376"/>
      <c r="Q2977" s="376"/>
      <c r="R2977" s="376"/>
    </row>
    <row r="2978" spans="15:18">
      <c r="O2978" s="376"/>
      <c r="P2978" s="376"/>
      <c r="Q2978" s="376"/>
      <c r="R2978" s="376"/>
    </row>
    <row r="2979" spans="15:18">
      <c r="O2979" s="376"/>
      <c r="P2979" s="376"/>
      <c r="Q2979" s="376"/>
      <c r="R2979" s="376"/>
    </row>
    <row r="2980" spans="15:18">
      <c r="O2980" s="376"/>
      <c r="P2980" s="376"/>
      <c r="Q2980" s="376"/>
      <c r="R2980" s="376"/>
    </row>
    <row r="2981" spans="15:18">
      <c r="O2981" s="376"/>
      <c r="P2981" s="376"/>
      <c r="Q2981" s="376"/>
      <c r="R2981" s="376"/>
    </row>
    <row r="2982" spans="15:18">
      <c r="O2982" s="376"/>
      <c r="P2982" s="376"/>
      <c r="Q2982" s="376"/>
      <c r="R2982" s="376"/>
    </row>
    <row r="2983" spans="15:18">
      <c r="O2983" s="376"/>
      <c r="P2983" s="376"/>
      <c r="Q2983" s="376"/>
      <c r="R2983" s="376"/>
    </row>
    <row r="2984" spans="15:18">
      <c r="O2984" s="376"/>
      <c r="P2984" s="376"/>
      <c r="Q2984" s="376"/>
      <c r="R2984" s="376"/>
    </row>
    <row r="2985" spans="15:18">
      <c r="O2985" s="376"/>
      <c r="P2985" s="376"/>
      <c r="Q2985" s="376"/>
      <c r="R2985" s="376"/>
    </row>
    <row r="2986" spans="15:18">
      <c r="O2986" s="376"/>
      <c r="P2986" s="376"/>
      <c r="Q2986" s="376"/>
      <c r="R2986" s="376"/>
    </row>
    <row r="2987" spans="15:18">
      <c r="O2987" s="376"/>
      <c r="P2987" s="376"/>
      <c r="Q2987" s="376"/>
      <c r="R2987" s="376"/>
    </row>
    <row r="2988" spans="15:18">
      <c r="O2988" s="376"/>
      <c r="P2988" s="376"/>
      <c r="Q2988" s="376"/>
      <c r="R2988" s="376"/>
    </row>
    <row r="2989" spans="15:18">
      <c r="O2989" s="376"/>
      <c r="P2989" s="376"/>
      <c r="Q2989" s="376"/>
      <c r="R2989" s="376"/>
    </row>
    <row r="2990" spans="15:18">
      <c r="O2990" s="376"/>
      <c r="P2990" s="376"/>
      <c r="Q2990" s="376"/>
      <c r="R2990" s="376"/>
    </row>
    <row r="2991" spans="15:18">
      <c r="O2991" s="376"/>
      <c r="P2991" s="376"/>
      <c r="Q2991" s="376"/>
      <c r="R2991" s="376"/>
    </row>
    <row r="2992" spans="15:18">
      <c r="O2992" s="376"/>
      <c r="P2992" s="376"/>
      <c r="Q2992" s="376"/>
      <c r="R2992" s="376"/>
    </row>
    <row r="2993" spans="15:18">
      <c r="O2993" s="376"/>
      <c r="P2993" s="376"/>
      <c r="Q2993" s="376"/>
      <c r="R2993" s="376"/>
    </row>
    <row r="2994" spans="15:18">
      <c r="O2994" s="376"/>
      <c r="P2994" s="376"/>
      <c r="Q2994" s="376"/>
      <c r="R2994" s="376"/>
    </row>
    <row r="2995" spans="15:18">
      <c r="O2995" s="376"/>
      <c r="P2995" s="376"/>
      <c r="Q2995" s="376"/>
      <c r="R2995" s="376"/>
    </row>
    <row r="2996" spans="15:18">
      <c r="O2996" s="376"/>
      <c r="P2996" s="376"/>
      <c r="Q2996" s="376"/>
      <c r="R2996" s="376"/>
    </row>
    <row r="2997" spans="15:18">
      <c r="O2997" s="376"/>
      <c r="P2997" s="376"/>
      <c r="Q2997" s="376"/>
      <c r="R2997" s="376"/>
    </row>
    <row r="2998" spans="15:18">
      <c r="O2998" s="376"/>
      <c r="P2998" s="376"/>
      <c r="Q2998" s="376"/>
      <c r="R2998" s="376"/>
    </row>
    <row r="2999" spans="15:18">
      <c r="O2999" s="376"/>
      <c r="P2999" s="376"/>
      <c r="Q2999" s="376"/>
      <c r="R2999" s="376"/>
    </row>
    <row r="3000" spans="15:18">
      <c r="O3000" s="376"/>
      <c r="P3000" s="376"/>
      <c r="Q3000" s="376"/>
      <c r="R3000" s="376"/>
    </row>
    <row r="3001" spans="15:18">
      <c r="O3001" s="376"/>
      <c r="P3001" s="376"/>
      <c r="Q3001" s="376"/>
      <c r="R3001" s="376"/>
    </row>
    <row r="3002" spans="15:18">
      <c r="O3002" s="376"/>
      <c r="P3002" s="376"/>
      <c r="Q3002" s="376"/>
      <c r="R3002" s="376"/>
    </row>
    <row r="3003" spans="15:18">
      <c r="O3003" s="376"/>
      <c r="P3003" s="376"/>
      <c r="Q3003" s="376"/>
      <c r="R3003" s="376"/>
    </row>
    <row r="3004" spans="15:18">
      <c r="O3004" s="376"/>
      <c r="P3004" s="376"/>
      <c r="Q3004" s="376"/>
      <c r="R3004" s="376"/>
    </row>
    <row r="3005" spans="15:18">
      <c r="O3005" s="376"/>
      <c r="P3005" s="376"/>
      <c r="Q3005" s="376"/>
      <c r="R3005" s="376"/>
    </row>
    <row r="3006" spans="15:18">
      <c r="O3006" s="376"/>
      <c r="P3006" s="376"/>
      <c r="Q3006" s="376"/>
      <c r="R3006" s="376"/>
    </row>
    <row r="3007" spans="15:18">
      <c r="O3007" s="376"/>
      <c r="P3007" s="376"/>
      <c r="Q3007" s="376"/>
      <c r="R3007" s="376"/>
    </row>
    <row r="3008" spans="15:18">
      <c r="O3008" s="376"/>
      <c r="P3008" s="376"/>
      <c r="Q3008" s="376"/>
      <c r="R3008" s="376"/>
    </row>
    <row r="3009" spans="15:18">
      <c r="O3009" s="376"/>
      <c r="P3009" s="376"/>
      <c r="Q3009" s="376"/>
      <c r="R3009" s="376"/>
    </row>
    <row r="3010" spans="15:18">
      <c r="O3010" s="376"/>
      <c r="P3010" s="376"/>
      <c r="Q3010" s="376"/>
      <c r="R3010" s="376"/>
    </row>
    <row r="3011" spans="15:18">
      <c r="O3011" s="376"/>
      <c r="P3011" s="376"/>
      <c r="Q3011" s="376"/>
      <c r="R3011" s="376"/>
    </row>
    <row r="3012" spans="15:18">
      <c r="O3012" s="376"/>
      <c r="P3012" s="376"/>
      <c r="Q3012" s="376"/>
      <c r="R3012" s="376"/>
    </row>
    <row r="3013" spans="15:18">
      <c r="O3013" s="376"/>
      <c r="P3013" s="376"/>
      <c r="Q3013" s="376"/>
      <c r="R3013" s="376"/>
    </row>
    <row r="3014" spans="15:18">
      <c r="O3014" s="376"/>
      <c r="P3014" s="376"/>
      <c r="Q3014" s="376"/>
      <c r="R3014" s="376"/>
    </row>
    <row r="3015" spans="15:18">
      <c r="O3015" s="376"/>
      <c r="P3015" s="376"/>
      <c r="Q3015" s="376"/>
      <c r="R3015" s="376"/>
    </row>
    <row r="3016" spans="15:18">
      <c r="O3016" s="376"/>
      <c r="P3016" s="376"/>
      <c r="Q3016" s="376"/>
      <c r="R3016" s="376"/>
    </row>
    <row r="3017" spans="15:18">
      <c r="O3017" s="376"/>
      <c r="P3017" s="376"/>
      <c r="Q3017" s="376"/>
      <c r="R3017" s="376"/>
    </row>
    <row r="3018" spans="15:18">
      <c r="O3018" s="376"/>
      <c r="P3018" s="376"/>
      <c r="Q3018" s="376"/>
      <c r="R3018" s="376"/>
    </row>
    <row r="3019" spans="15:18">
      <c r="O3019" s="376"/>
      <c r="P3019" s="376"/>
      <c r="Q3019" s="376"/>
      <c r="R3019" s="376"/>
    </row>
    <row r="3020" spans="15:18">
      <c r="O3020" s="376"/>
      <c r="P3020" s="376"/>
      <c r="Q3020" s="376"/>
      <c r="R3020" s="376"/>
    </row>
    <row r="3021" spans="15:18">
      <c r="O3021" s="376"/>
      <c r="P3021" s="376"/>
      <c r="Q3021" s="376"/>
      <c r="R3021" s="376"/>
    </row>
    <row r="3022" spans="15:18">
      <c r="O3022" s="376"/>
      <c r="P3022" s="376"/>
      <c r="Q3022" s="376"/>
      <c r="R3022" s="376"/>
    </row>
    <row r="3023" spans="15:18">
      <c r="O3023" s="376"/>
      <c r="P3023" s="376"/>
      <c r="Q3023" s="376"/>
      <c r="R3023" s="376"/>
    </row>
  </sheetData>
  <sortState xmlns:xlrd2="http://schemas.microsoft.com/office/spreadsheetml/2017/richdata2" ref="C50:P78">
    <sortCondition ref="C50:C78"/>
  </sortState>
  <mergeCells count="3">
    <mergeCell ref="AB3:AB4"/>
    <mergeCell ref="AE3:AE4"/>
    <mergeCell ref="AE30:AE31"/>
  </mergeCells>
  <phoneticPr fontId="53" type="noConversion"/>
  <conditionalFormatting sqref="W3:W26">
    <cfRule type="dataBar" priority="4">
      <dataBar>
        <cfvo type="min"/>
        <cfvo type="max"/>
        <color rgb="FFFF847F"/>
      </dataBar>
      <extLst>
        <ext xmlns:x14="http://schemas.microsoft.com/office/spreadsheetml/2009/9/main" uri="{B025F937-C7B1-47D3-B67F-A62EFF666E3E}">
          <x14:id>{F0CFC4A0-B83E-E040-B4FC-40511C6C8E29}</x14:id>
        </ext>
      </extLst>
    </cfRule>
  </conditionalFormatting>
  <conditionalFormatting sqref="W29:W35">
    <cfRule type="dataBar" priority="3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{5B575703-BC8B-3944-8976-9E5298402176}</x14:id>
        </ext>
      </extLst>
    </cfRule>
  </conditionalFormatting>
  <conditionalFormatting sqref="V27:V35"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{CB28F9CE-9C91-3747-B0F7-81FD0918A2F3}</x14:id>
        </ext>
      </extLst>
    </cfRule>
  </conditionalFormatting>
  <conditionalFormatting sqref="V3:V26">
    <cfRule type="dataBar" priority="1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{63A82298-347D-734B-B6C9-A81DF2CBFB03}</x14:id>
        </ext>
      </extLst>
    </cfRule>
  </conditionalFormatting>
  <pageMargins left="0.7" right="0.7" top="0.75" bottom="0.75" header="0.3" footer="0.3"/>
  <drawing r:id="rId1"/>
  <tableParts count="2">
    <tablePart r:id="rId2"/>
    <tablePart r:id="rId3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0CFC4A0-B83E-E040-B4FC-40511C6C8E29}">
            <x14:dataBar minLength="0" maxLength="100" border="1" negativeBarBorderColorSameAsPositive="0">
              <x14:cfvo type="autoMin"/>
              <x14:cfvo type="autoMax"/>
              <x14:borderColor rgb="FF638EC6"/>
              <x14:negativeFillColor theme="1" tint="0.499984740745262"/>
              <x14:negativeBorderColor theme="1"/>
              <x14:axisColor rgb="FF000000"/>
            </x14:dataBar>
          </x14:cfRule>
          <xm:sqref>W3:W26</xm:sqref>
        </x14:conditionalFormatting>
        <x14:conditionalFormatting xmlns:xm="http://schemas.microsoft.com/office/excel/2006/main">
          <x14:cfRule type="dataBar" id="{5B575703-BC8B-3944-8976-9E5298402176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W29:W35</xm:sqref>
        </x14:conditionalFormatting>
        <x14:conditionalFormatting xmlns:xm="http://schemas.microsoft.com/office/excel/2006/main">
          <x14:cfRule type="dataBar" id="{CB28F9CE-9C91-3747-B0F7-81FD0918A2F3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V27:V35</xm:sqref>
        </x14:conditionalFormatting>
        <x14:conditionalFormatting xmlns:xm="http://schemas.microsoft.com/office/excel/2006/main">
          <x14:cfRule type="dataBar" id="{63A82298-347D-734B-B6C9-A81DF2CBFB03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V3:V26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Graphique pluriannuel</vt:lpstr>
      <vt:lpstr>2021 CNESER</vt:lpstr>
      <vt:lpstr>2020 CNESER</vt:lpstr>
      <vt:lpstr>2019 CNESER</vt:lpstr>
      <vt:lpstr>2019-2021 GE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Hervé CHRISTOFOL</dc:creator>
  <cp:lastModifiedBy>Hervé CHRISTOFOL</cp:lastModifiedBy>
  <dcterms:created xsi:type="dcterms:W3CDTF">2020-05-03T14:13:05Z</dcterms:created>
  <dcterms:modified xsi:type="dcterms:W3CDTF">2021-11-15T16:15:35Z</dcterms:modified>
</cp:coreProperties>
</file>